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" ContentType="image/tiff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8.xml" ContentType="application/vnd.openxmlformats-officedocument.drawing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9.xml" ContentType="application/vnd.openxmlformats-officedocument.drawing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harts/chart9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13.xml" ContentType="application/vnd.openxmlformats-officedocument.drawing+xml"/>
  <Override PartName="/xl/charts/chart10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4.xml" ContentType="application/vnd.openxmlformats-officedocument.drawing+xml"/>
  <Override PartName="/xl/charts/chart11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5.xml" ContentType="application/vnd.openxmlformats-officedocument.drawing+xml"/>
  <Override PartName="/xl/charts/chart12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8. hormel USA\paper submission\final submitted\8. microbiome\small letters\"/>
    </mc:Choice>
  </mc:AlternateContent>
  <bookViews>
    <workbookView xWindow="480" yWindow="90" windowWidth="20010" windowHeight="7155" firstSheet="39" activeTab="46"/>
  </bookViews>
  <sheets>
    <sheet name="fig1c" sheetId="4" r:id="rId1"/>
    <sheet name="fig2a" sheetId="10" r:id="rId2"/>
    <sheet name="fig2b" sheetId="6" r:id="rId3"/>
    <sheet name="fig2c" sheetId="5" r:id="rId4"/>
    <sheet name="fig2d" sheetId="7" r:id="rId5"/>
    <sheet name="fig2e" sheetId="8" r:id="rId6"/>
    <sheet name="fig2g" sheetId="9" r:id="rId7"/>
    <sheet name="fig2h" sheetId="12" r:id="rId8"/>
    <sheet name="fig3b" sheetId="13" r:id="rId9"/>
    <sheet name="fig3c" sheetId="14" r:id="rId10"/>
    <sheet name="fig3d" sheetId="15" r:id="rId11"/>
    <sheet name="fig3e" sheetId="16" r:id="rId12"/>
    <sheet name="fig3f" sheetId="17" r:id="rId13"/>
    <sheet name="Fig4b" sheetId="18" r:id="rId14"/>
    <sheet name="Fig4c,d,e" sheetId="19" r:id="rId15"/>
    <sheet name="Fig4f,g,h" sheetId="20" r:id="rId16"/>
    <sheet name="Fig4i,j,k" sheetId="21" r:id="rId17"/>
    <sheet name="Fig5A" sheetId="27" r:id="rId18"/>
    <sheet name="Fig5B,C,D" sheetId="22" r:id="rId19"/>
    <sheet name="Fig5E" sheetId="91" r:id="rId20"/>
    <sheet name="Fig5F" sheetId="23" r:id="rId21"/>
    <sheet name="Fig5G" sheetId="24" r:id="rId22"/>
    <sheet name="Fig5H" sheetId="25" r:id="rId23"/>
    <sheet name="Fig5I" sheetId="26" r:id="rId24"/>
    <sheet name="Fig6A,B,C" sheetId="28" r:id="rId25"/>
    <sheet name="Fig6D,E,F" sheetId="29" r:id="rId26"/>
    <sheet name="Fig6G" sheetId="30" r:id="rId27"/>
    <sheet name="Fig6H" sheetId="31" r:id="rId28"/>
    <sheet name="Fig6I" sheetId="32" r:id="rId29"/>
    <sheet name="Fig6J, K" sheetId="33" r:id="rId30"/>
    <sheet name="Fig7A" sheetId="34" r:id="rId31"/>
    <sheet name="Fig7B,C,D" sheetId="35" r:id="rId32"/>
    <sheet name="Fig7E" sheetId="92" r:id="rId33"/>
    <sheet name="Fig7F" sheetId="37" r:id="rId34"/>
    <sheet name="Fig7G" sheetId="38" r:id="rId35"/>
    <sheet name="Fig7H" sheetId="39" r:id="rId36"/>
    <sheet name="Fig7I,J" sheetId="40" r:id="rId37"/>
    <sheet name="Supp1A,B,C,D" sheetId="41" r:id="rId38"/>
    <sheet name="Supp2B,C,D" sheetId="42" r:id="rId39"/>
    <sheet name="Supp2E" sheetId="43" r:id="rId40"/>
    <sheet name="Supp2F" sheetId="45" r:id="rId41"/>
    <sheet name="Supp2G" sheetId="46" r:id="rId42"/>
    <sheet name="Supp3A" sheetId="47" r:id="rId43"/>
    <sheet name="Supp3B" sheetId="48" r:id="rId44"/>
    <sheet name="Supp3C" sheetId="49" r:id="rId45"/>
    <sheet name="Supp3D" sheetId="50" r:id="rId46"/>
    <sheet name="SuppFig4A" sheetId="85" r:id="rId47"/>
    <sheet name="Supp Fig4B" sheetId="83" r:id="rId48"/>
    <sheet name="Supp Fig4C" sheetId="87" r:id="rId49"/>
    <sheet name="Supp Fig4D" sheetId="88" r:id="rId50"/>
    <sheet name="Supp Fig4E" sheetId="90" r:id="rId51"/>
    <sheet name="Supp5B" sheetId="54" r:id="rId52"/>
    <sheet name="Supp5C" sheetId="53" r:id="rId53"/>
    <sheet name="Supp5D" sheetId="51" r:id="rId54"/>
    <sheet name="Supp5F" sheetId="52" r:id="rId55"/>
    <sheet name="Supp6B,C" sheetId="55" r:id="rId56"/>
    <sheet name="Supp Fig7" sheetId="56" r:id="rId57"/>
    <sheet name="SuppFig 8" sheetId="57" r:id="rId58"/>
    <sheet name="Supp Fig9A" sheetId="59" r:id="rId59"/>
    <sheet name="Supp Fig9B" sheetId="60" r:id="rId60"/>
    <sheet name="Supp Fig9C" sheetId="66" r:id="rId61"/>
    <sheet name="Supp Fig9D" sheetId="67" r:id="rId62"/>
    <sheet name="Supp Fig10A, B, C" sheetId="68" r:id="rId63"/>
    <sheet name="Supp Fig10D, E" sheetId="69" r:id="rId64"/>
    <sheet name="Supp Fig11A" sheetId="70" r:id="rId65"/>
    <sheet name="Supp Fig11B" sheetId="71" r:id="rId66"/>
    <sheet name="Supp Fig12" sheetId="72" r:id="rId67"/>
    <sheet name="Supp Fig13" sheetId="73" r:id="rId68"/>
    <sheet name="Supp Fig14" sheetId="74" r:id="rId69"/>
    <sheet name="Supp Fig15" sheetId="75" r:id="rId70"/>
    <sheet name="Supp Fig16" sheetId="77" r:id="rId71"/>
    <sheet name="SupFig 17A" sheetId="78" r:id="rId72"/>
    <sheet name="Supp Fig17B" sheetId="79" r:id="rId73"/>
    <sheet name="Supp Fig17C" sheetId="80" r:id="rId74"/>
    <sheet name="Supp Fig17D" sheetId="81" r:id="rId75"/>
    <sheet name="Supp Fig17E" sheetId="82" r:id="rId76"/>
  </sheets>
  <externalReferences>
    <externalReference r:id="rId77"/>
    <externalReference r:id="rId78"/>
    <externalReference r:id="rId79"/>
  </externalReferences>
  <calcPr calcId="162913"/>
</workbook>
</file>

<file path=xl/calcChain.xml><?xml version="1.0" encoding="utf-8"?>
<calcChain xmlns="http://schemas.openxmlformats.org/spreadsheetml/2006/main">
  <c r="O36" i="7" l="1"/>
  <c r="O37" i="7"/>
  <c r="O38" i="7"/>
  <c r="O39" i="7"/>
  <c r="O40" i="7"/>
  <c r="O41" i="7"/>
  <c r="O42" i="7"/>
  <c r="O43" i="7"/>
  <c r="O44" i="7"/>
  <c r="O45" i="7"/>
  <c r="O47" i="7"/>
  <c r="O60" i="7" s="1"/>
  <c r="O48" i="7"/>
  <c r="O61" i="7" s="1"/>
  <c r="O49" i="7"/>
  <c r="O50" i="7"/>
  <c r="O51" i="7"/>
  <c r="O64" i="7" s="1"/>
  <c r="O52" i="7"/>
  <c r="O65" i="7" s="1"/>
  <c r="O53" i="7"/>
  <c r="O54" i="7"/>
  <c r="O55" i="7"/>
  <c r="O68" i="7" s="1"/>
  <c r="O56" i="7"/>
  <c r="O69" i="7" s="1"/>
  <c r="O62" i="7"/>
  <c r="O63" i="7"/>
  <c r="O66" i="7"/>
  <c r="O67" i="7"/>
  <c r="B51" i="19" l="1"/>
  <c r="C51" i="19"/>
  <c r="D51" i="19"/>
  <c r="E51" i="19"/>
  <c r="F51" i="19"/>
  <c r="G51" i="19"/>
  <c r="H51" i="19"/>
  <c r="I51" i="19"/>
  <c r="J51" i="19"/>
  <c r="K51" i="19"/>
  <c r="B52" i="19"/>
  <c r="C52" i="19"/>
  <c r="D52" i="19"/>
  <c r="E52" i="19"/>
  <c r="F52" i="19"/>
  <c r="G52" i="19"/>
  <c r="H52" i="19"/>
  <c r="I52" i="19"/>
  <c r="J52" i="19"/>
  <c r="K52" i="19"/>
  <c r="B53" i="19"/>
  <c r="C53" i="19"/>
  <c r="D53" i="19"/>
  <c r="E53" i="19"/>
  <c r="F53" i="19"/>
  <c r="G53" i="19"/>
  <c r="H53" i="19"/>
  <c r="I53" i="19"/>
  <c r="J53" i="19"/>
  <c r="K53" i="19"/>
  <c r="C50" i="19"/>
  <c r="D50" i="19"/>
  <c r="E50" i="19"/>
  <c r="F50" i="19"/>
  <c r="G50" i="19"/>
  <c r="H50" i="19"/>
  <c r="I50" i="19"/>
  <c r="J50" i="19"/>
  <c r="K50" i="19"/>
  <c r="B50" i="19"/>
  <c r="B37" i="19"/>
  <c r="C37" i="19"/>
  <c r="D37" i="19"/>
  <c r="E37" i="19"/>
  <c r="F37" i="19"/>
  <c r="G37" i="19"/>
  <c r="H37" i="19"/>
  <c r="I37" i="19"/>
  <c r="J37" i="19"/>
  <c r="K37" i="19"/>
  <c r="B38" i="19"/>
  <c r="C38" i="19"/>
  <c r="D38" i="19"/>
  <c r="E38" i="19"/>
  <c r="F38" i="19"/>
  <c r="G38" i="19"/>
  <c r="H38" i="19"/>
  <c r="I38" i="19"/>
  <c r="J38" i="19"/>
  <c r="K38" i="19"/>
  <c r="B39" i="19"/>
  <c r="C39" i="19"/>
  <c r="D39" i="19"/>
  <c r="E39" i="19"/>
  <c r="F39" i="19"/>
  <c r="G39" i="19"/>
  <c r="H39" i="19"/>
  <c r="I39" i="19"/>
  <c r="J39" i="19"/>
  <c r="K39" i="19"/>
  <c r="C36" i="19"/>
  <c r="D36" i="19"/>
  <c r="E36" i="19"/>
  <c r="F36" i="19"/>
  <c r="G36" i="19"/>
  <c r="H36" i="19"/>
  <c r="I36" i="19"/>
  <c r="J36" i="19"/>
  <c r="K36" i="19"/>
  <c r="B36" i="19"/>
  <c r="B23" i="19"/>
  <c r="C23" i="19"/>
  <c r="D23" i="19"/>
  <c r="E23" i="19"/>
  <c r="F23" i="19"/>
  <c r="G23" i="19"/>
  <c r="H23" i="19"/>
  <c r="I23" i="19"/>
  <c r="J23" i="19"/>
  <c r="K23" i="19"/>
  <c r="B24" i="19"/>
  <c r="C24" i="19"/>
  <c r="D24" i="19"/>
  <c r="E24" i="19"/>
  <c r="F24" i="19"/>
  <c r="G24" i="19"/>
  <c r="H24" i="19"/>
  <c r="I24" i="19"/>
  <c r="J24" i="19"/>
  <c r="K24" i="19"/>
  <c r="B25" i="19"/>
  <c r="C25" i="19"/>
  <c r="D25" i="19"/>
  <c r="E25" i="19"/>
  <c r="F25" i="19"/>
  <c r="G25" i="19"/>
  <c r="H25" i="19"/>
  <c r="I25" i="19"/>
  <c r="J25" i="19"/>
  <c r="K25" i="19"/>
  <c r="C22" i="19"/>
  <c r="D22" i="19"/>
  <c r="E22" i="19"/>
  <c r="F22" i="19"/>
  <c r="G22" i="19"/>
  <c r="H22" i="19"/>
  <c r="I22" i="19"/>
  <c r="J22" i="19"/>
  <c r="K22" i="19"/>
  <c r="B22" i="19"/>
  <c r="B24" i="12"/>
  <c r="C24" i="12"/>
  <c r="D24" i="12"/>
  <c r="E24" i="12"/>
  <c r="F24" i="12"/>
  <c r="G24" i="12"/>
  <c r="H24" i="12"/>
  <c r="I24" i="12"/>
  <c r="J24" i="12"/>
  <c r="K24" i="12"/>
  <c r="B25" i="12"/>
  <c r="C25" i="12"/>
  <c r="D25" i="12"/>
  <c r="E25" i="12"/>
  <c r="F25" i="12"/>
  <c r="G25" i="12"/>
  <c r="H25" i="12"/>
  <c r="I25" i="12"/>
  <c r="J25" i="12"/>
  <c r="K25" i="12"/>
  <c r="B26" i="12"/>
  <c r="C26" i="12"/>
  <c r="D26" i="12"/>
  <c r="E26" i="12"/>
  <c r="F26" i="12"/>
  <c r="G26" i="12"/>
  <c r="H26" i="12"/>
  <c r="I26" i="12"/>
  <c r="J26" i="12"/>
  <c r="K26" i="12"/>
  <c r="C23" i="12"/>
  <c r="D23" i="12"/>
  <c r="E23" i="12"/>
  <c r="F23" i="12"/>
  <c r="G23" i="12"/>
  <c r="H23" i="12"/>
  <c r="I23" i="12"/>
  <c r="J23" i="12"/>
  <c r="K23" i="12"/>
  <c r="B23" i="12"/>
  <c r="E40" i="88" l="1"/>
  <c r="I40" i="88"/>
  <c r="M40" i="88"/>
  <c r="Q40" i="88"/>
  <c r="U40" i="88"/>
  <c r="E41" i="88"/>
  <c r="I41" i="88"/>
  <c r="M41" i="88"/>
  <c r="Q41" i="88"/>
  <c r="U41" i="88"/>
  <c r="E42" i="88"/>
  <c r="I42" i="88"/>
  <c r="M42" i="88"/>
  <c r="Q42" i="88"/>
  <c r="U42" i="88"/>
  <c r="I39" i="88"/>
  <c r="M39" i="88"/>
  <c r="Q39" i="88"/>
  <c r="U39" i="88"/>
  <c r="E39" i="88"/>
  <c r="E52" i="90"/>
  <c r="I52" i="90"/>
  <c r="M52" i="90"/>
  <c r="Q52" i="90"/>
  <c r="U52" i="90"/>
  <c r="E53" i="90"/>
  <c r="I53" i="90"/>
  <c r="M53" i="90"/>
  <c r="Q53" i="90"/>
  <c r="U53" i="90"/>
  <c r="E54" i="90"/>
  <c r="I54" i="90"/>
  <c r="M54" i="90"/>
  <c r="Q54" i="90"/>
  <c r="U54" i="90"/>
  <c r="I51" i="90"/>
  <c r="M51" i="90"/>
  <c r="Q51" i="90"/>
  <c r="U51" i="90"/>
  <c r="E51" i="90"/>
  <c r="E41" i="87"/>
  <c r="M41" i="87"/>
  <c r="Q41" i="87"/>
  <c r="E42" i="87"/>
  <c r="I42" i="87"/>
  <c r="M42" i="87"/>
  <c r="Q42" i="87"/>
  <c r="E43" i="87"/>
  <c r="M43" i="87"/>
  <c r="U43" i="87"/>
  <c r="I40" i="87"/>
  <c r="M40" i="87"/>
  <c r="Q40" i="87"/>
  <c r="U40" i="87"/>
  <c r="E40" i="87"/>
  <c r="E35" i="83"/>
  <c r="W33" i="83"/>
  <c r="E33" i="88"/>
  <c r="F33" i="88"/>
  <c r="G33" i="88"/>
  <c r="I33" i="88"/>
  <c r="J33" i="88"/>
  <c r="K33" i="88"/>
  <c r="M33" i="88"/>
  <c r="N33" i="88"/>
  <c r="O33" i="88"/>
  <c r="Q33" i="88"/>
  <c r="R33" i="88"/>
  <c r="S33" i="88"/>
  <c r="U33" i="88"/>
  <c r="V33" i="88"/>
  <c r="W33" i="88"/>
  <c r="E34" i="88"/>
  <c r="F34" i="88"/>
  <c r="G34" i="88"/>
  <c r="I34" i="88"/>
  <c r="J34" i="88"/>
  <c r="K34" i="88"/>
  <c r="M34" i="88"/>
  <c r="N34" i="88"/>
  <c r="O34" i="88"/>
  <c r="Q34" i="88"/>
  <c r="R34" i="88"/>
  <c r="S34" i="88"/>
  <c r="U34" i="88"/>
  <c r="V34" i="88"/>
  <c r="W34" i="88"/>
  <c r="E35" i="88"/>
  <c r="F35" i="88"/>
  <c r="G35" i="88"/>
  <c r="I35" i="88"/>
  <c r="J35" i="88"/>
  <c r="K35" i="88"/>
  <c r="M35" i="88"/>
  <c r="N35" i="88"/>
  <c r="O35" i="88"/>
  <c r="Q35" i="88"/>
  <c r="R35" i="88"/>
  <c r="S35" i="88"/>
  <c r="U35" i="88"/>
  <c r="V35" i="88"/>
  <c r="W35" i="88"/>
  <c r="F32" i="88"/>
  <c r="G32" i="88"/>
  <c r="I32" i="88"/>
  <c r="J32" i="88"/>
  <c r="K32" i="88"/>
  <c r="M32" i="88"/>
  <c r="N32" i="88"/>
  <c r="O32" i="88"/>
  <c r="Q32" i="88"/>
  <c r="R32" i="88"/>
  <c r="S32" i="88"/>
  <c r="U32" i="88"/>
  <c r="V32" i="88"/>
  <c r="W32" i="88"/>
  <c r="E32" i="88"/>
  <c r="E29" i="88"/>
  <c r="E45" i="90" l="1"/>
  <c r="F45" i="90"/>
  <c r="G45" i="90"/>
  <c r="I45" i="90"/>
  <c r="J45" i="90"/>
  <c r="K45" i="90"/>
  <c r="L45" i="90"/>
  <c r="M45" i="90"/>
  <c r="N45" i="90"/>
  <c r="O45" i="90"/>
  <c r="P45" i="90"/>
  <c r="Q45" i="90"/>
  <c r="R45" i="90"/>
  <c r="S45" i="90"/>
  <c r="T45" i="90"/>
  <c r="U45" i="90"/>
  <c r="V45" i="90"/>
  <c r="W45" i="90"/>
  <c r="E46" i="90"/>
  <c r="F46" i="90"/>
  <c r="G46" i="90"/>
  <c r="I46" i="90"/>
  <c r="J46" i="90"/>
  <c r="K46" i="90"/>
  <c r="L46" i="90"/>
  <c r="M46" i="90"/>
  <c r="N46" i="90"/>
  <c r="O46" i="90"/>
  <c r="P46" i="90"/>
  <c r="Q46" i="90"/>
  <c r="R46" i="90"/>
  <c r="S46" i="90"/>
  <c r="T46" i="90"/>
  <c r="U46" i="90"/>
  <c r="V46" i="90"/>
  <c r="W46" i="90"/>
  <c r="E47" i="90"/>
  <c r="F47" i="90"/>
  <c r="G47" i="90"/>
  <c r="I47" i="90"/>
  <c r="J47" i="90"/>
  <c r="K47" i="90"/>
  <c r="L47" i="90"/>
  <c r="M47" i="90"/>
  <c r="N47" i="90"/>
  <c r="O47" i="90"/>
  <c r="P47" i="90"/>
  <c r="Q47" i="90"/>
  <c r="R47" i="90"/>
  <c r="S47" i="90"/>
  <c r="T47" i="90"/>
  <c r="U47" i="90"/>
  <c r="V47" i="90"/>
  <c r="W47" i="90"/>
  <c r="F44" i="90"/>
  <c r="G44" i="90"/>
  <c r="I44" i="90"/>
  <c r="J44" i="90"/>
  <c r="K44" i="90"/>
  <c r="L44" i="90"/>
  <c r="M44" i="90"/>
  <c r="N44" i="90"/>
  <c r="O44" i="90"/>
  <c r="P44" i="90"/>
  <c r="Q44" i="90"/>
  <c r="R44" i="90"/>
  <c r="S44" i="90"/>
  <c r="T44" i="90"/>
  <c r="U44" i="90"/>
  <c r="V44" i="90"/>
  <c r="W44" i="90"/>
  <c r="E44" i="90"/>
  <c r="E37" i="90"/>
  <c r="F37" i="90"/>
  <c r="G37" i="90"/>
  <c r="H37" i="90"/>
  <c r="I37" i="90"/>
  <c r="J37" i="90"/>
  <c r="K37" i="90"/>
  <c r="L37" i="90"/>
  <c r="M37" i="90"/>
  <c r="N37" i="90"/>
  <c r="O37" i="90"/>
  <c r="P37" i="90"/>
  <c r="Q37" i="90"/>
  <c r="R37" i="90"/>
  <c r="S37" i="90"/>
  <c r="T37" i="90"/>
  <c r="U37" i="90"/>
  <c r="V37" i="90"/>
  <c r="W37" i="90"/>
  <c r="E38" i="90"/>
  <c r="F38" i="90"/>
  <c r="G38" i="90"/>
  <c r="H38" i="90"/>
  <c r="I38" i="90"/>
  <c r="J38" i="90"/>
  <c r="K38" i="90"/>
  <c r="L38" i="90"/>
  <c r="M38" i="90"/>
  <c r="N38" i="90"/>
  <c r="O38" i="90"/>
  <c r="P38" i="90"/>
  <c r="Q38" i="90"/>
  <c r="R38" i="90"/>
  <c r="S38" i="90"/>
  <c r="T38" i="90"/>
  <c r="U38" i="90"/>
  <c r="V38" i="90"/>
  <c r="W38" i="90"/>
  <c r="E39" i="90"/>
  <c r="F39" i="90"/>
  <c r="G39" i="90"/>
  <c r="H39" i="90"/>
  <c r="I39" i="90"/>
  <c r="J39" i="90"/>
  <c r="K39" i="90"/>
  <c r="L39" i="90"/>
  <c r="M39" i="90"/>
  <c r="N39" i="90"/>
  <c r="O39" i="90"/>
  <c r="P39" i="90"/>
  <c r="Q39" i="90"/>
  <c r="R39" i="90"/>
  <c r="S39" i="90"/>
  <c r="T39" i="90"/>
  <c r="U39" i="90"/>
  <c r="V39" i="90"/>
  <c r="W39" i="90"/>
  <c r="F36" i="90"/>
  <c r="G36" i="90"/>
  <c r="H36" i="90"/>
  <c r="I36" i="90"/>
  <c r="J36" i="90"/>
  <c r="K36" i="90"/>
  <c r="L36" i="90"/>
  <c r="M36" i="90"/>
  <c r="N36" i="90"/>
  <c r="O36" i="90"/>
  <c r="P36" i="90"/>
  <c r="Q36" i="90"/>
  <c r="R36" i="90"/>
  <c r="S36" i="90"/>
  <c r="T36" i="90"/>
  <c r="U36" i="90"/>
  <c r="V36" i="90"/>
  <c r="W36" i="90"/>
  <c r="E36" i="90"/>
  <c r="E32" i="90"/>
  <c r="E27" i="90"/>
  <c r="F27" i="90"/>
  <c r="G27" i="90"/>
  <c r="I27" i="90"/>
  <c r="J27" i="90"/>
  <c r="K27" i="90"/>
  <c r="M27" i="90"/>
  <c r="N27" i="90"/>
  <c r="O27" i="90"/>
  <c r="Q27" i="90"/>
  <c r="R27" i="90"/>
  <c r="S27" i="90"/>
  <c r="U27" i="90"/>
  <c r="V27" i="90"/>
  <c r="W27" i="90"/>
  <c r="E28" i="90"/>
  <c r="F28" i="90"/>
  <c r="G28" i="90"/>
  <c r="I28" i="90"/>
  <c r="J28" i="90"/>
  <c r="K28" i="90"/>
  <c r="M28" i="90"/>
  <c r="N28" i="90"/>
  <c r="O28" i="90"/>
  <c r="Q28" i="90"/>
  <c r="R28" i="90"/>
  <c r="S28" i="90"/>
  <c r="U28" i="90"/>
  <c r="V28" i="90"/>
  <c r="W28" i="90"/>
  <c r="E29" i="90"/>
  <c r="F29" i="90"/>
  <c r="G29" i="90"/>
  <c r="I29" i="90"/>
  <c r="J29" i="90"/>
  <c r="K29" i="90"/>
  <c r="M29" i="90"/>
  <c r="N29" i="90"/>
  <c r="O29" i="90"/>
  <c r="Q29" i="90"/>
  <c r="R29" i="90"/>
  <c r="S29" i="90"/>
  <c r="U29" i="90"/>
  <c r="V29" i="90"/>
  <c r="W29" i="90"/>
  <c r="F26" i="90"/>
  <c r="G26" i="90"/>
  <c r="I26" i="90"/>
  <c r="J26" i="90"/>
  <c r="K26" i="90"/>
  <c r="M26" i="90"/>
  <c r="N26" i="90"/>
  <c r="O26" i="90"/>
  <c r="Q26" i="90"/>
  <c r="R26" i="90"/>
  <c r="S26" i="90"/>
  <c r="U26" i="90"/>
  <c r="V26" i="90"/>
  <c r="W26" i="90"/>
  <c r="E26" i="90"/>
  <c r="E23" i="88"/>
  <c r="M23" i="88"/>
  <c r="E24" i="88"/>
  <c r="F24" i="88"/>
  <c r="G24" i="88"/>
  <c r="I24" i="88"/>
  <c r="J24" i="88"/>
  <c r="K24" i="88"/>
  <c r="M24" i="88"/>
  <c r="N24" i="88"/>
  <c r="O24" i="88"/>
  <c r="Q24" i="88"/>
  <c r="R24" i="88"/>
  <c r="S24" i="88"/>
  <c r="U24" i="88"/>
  <c r="V24" i="88"/>
  <c r="W24" i="88"/>
  <c r="E25" i="88"/>
  <c r="F25" i="88"/>
  <c r="G25" i="88"/>
  <c r="I25" i="88"/>
  <c r="J25" i="88"/>
  <c r="K25" i="88"/>
  <c r="M25" i="88"/>
  <c r="N25" i="88"/>
  <c r="O25" i="88"/>
  <c r="Q25" i="88"/>
  <c r="R25" i="88"/>
  <c r="S25" i="88"/>
  <c r="U25" i="88"/>
  <c r="V25" i="88"/>
  <c r="W25" i="88"/>
  <c r="E26" i="88"/>
  <c r="F26" i="88"/>
  <c r="G26" i="88"/>
  <c r="I26" i="88"/>
  <c r="J26" i="88"/>
  <c r="K26" i="88"/>
  <c r="M26" i="88"/>
  <c r="N26" i="88"/>
  <c r="O26" i="88"/>
  <c r="Q26" i="88"/>
  <c r="R26" i="88"/>
  <c r="S26" i="88"/>
  <c r="U26" i="88"/>
  <c r="V26" i="88"/>
  <c r="W26" i="88"/>
  <c r="F23" i="88"/>
  <c r="G23" i="88"/>
  <c r="I23" i="88"/>
  <c r="J23" i="88"/>
  <c r="K23" i="88"/>
  <c r="N23" i="88"/>
  <c r="O23" i="88"/>
  <c r="Q23" i="88"/>
  <c r="R23" i="88"/>
  <c r="S23" i="88"/>
  <c r="U23" i="88"/>
  <c r="V23" i="88"/>
  <c r="W23" i="88"/>
  <c r="E35" i="87"/>
  <c r="G35" i="87"/>
  <c r="I35" i="87"/>
  <c r="J35" i="87"/>
  <c r="K35" i="87"/>
  <c r="I41" i="87" s="1"/>
  <c r="M35" i="87"/>
  <c r="N35" i="87"/>
  <c r="O35" i="87"/>
  <c r="Q35" i="87"/>
  <c r="R35" i="87"/>
  <c r="S35" i="87"/>
  <c r="U35" i="87"/>
  <c r="V35" i="87"/>
  <c r="U41" i="87" s="1"/>
  <c r="W35" i="87"/>
  <c r="E36" i="87"/>
  <c r="F36" i="87"/>
  <c r="G36" i="87"/>
  <c r="I36" i="87"/>
  <c r="J36" i="87"/>
  <c r="K36" i="87"/>
  <c r="M36" i="87"/>
  <c r="N36" i="87"/>
  <c r="O36" i="87"/>
  <c r="Q36" i="87"/>
  <c r="R36" i="87"/>
  <c r="S36" i="87"/>
  <c r="I37" i="87"/>
  <c r="J37" i="87"/>
  <c r="I43" i="87" s="1"/>
  <c r="M37" i="87"/>
  <c r="N37" i="87"/>
  <c r="J34" i="87"/>
  <c r="K34" i="87"/>
  <c r="O34" i="87"/>
  <c r="E25" i="87"/>
  <c r="F25" i="87"/>
  <c r="F35" i="87" s="1"/>
  <c r="G25" i="87"/>
  <c r="I25" i="87"/>
  <c r="J25" i="87"/>
  <c r="K25" i="87"/>
  <c r="M25" i="87"/>
  <c r="N25" i="87"/>
  <c r="O25" i="87"/>
  <c r="Q25" i="87"/>
  <c r="R25" i="87"/>
  <c r="S25" i="87"/>
  <c r="U25" i="87"/>
  <c r="V25" i="87"/>
  <c r="W25" i="87"/>
  <c r="E26" i="87"/>
  <c r="F26" i="87"/>
  <c r="G26" i="87"/>
  <c r="I26" i="87"/>
  <c r="J26" i="87"/>
  <c r="K26" i="87"/>
  <c r="M26" i="87"/>
  <c r="N26" i="87"/>
  <c r="O26" i="87"/>
  <c r="Q26" i="87"/>
  <c r="R26" i="87"/>
  <c r="S26" i="87"/>
  <c r="U26" i="87"/>
  <c r="U36" i="87" s="1"/>
  <c r="V26" i="87"/>
  <c r="V36" i="87" s="1"/>
  <c r="W26" i="87"/>
  <c r="W36" i="87" s="1"/>
  <c r="E27" i="87"/>
  <c r="E37" i="87" s="1"/>
  <c r="F27" i="87"/>
  <c r="F37" i="87" s="1"/>
  <c r="G27" i="87"/>
  <c r="G37" i="87" s="1"/>
  <c r="I27" i="87"/>
  <c r="J27" i="87"/>
  <c r="K27" i="87"/>
  <c r="K37" i="87" s="1"/>
  <c r="M27" i="87"/>
  <c r="N27" i="87"/>
  <c r="O27" i="87"/>
  <c r="O37" i="87" s="1"/>
  <c r="Q27" i="87"/>
  <c r="Q37" i="87" s="1"/>
  <c r="R27" i="87"/>
  <c r="R37" i="87" s="1"/>
  <c r="S27" i="87"/>
  <c r="S37" i="87" s="1"/>
  <c r="U27" i="87"/>
  <c r="U37" i="87" s="1"/>
  <c r="V27" i="87"/>
  <c r="V37" i="87" s="1"/>
  <c r="W27" i="87"/>
  <c r="W37" i="87" s="1"/>
  <c r="F24" i="87"/>
  <c r="F34" i="87" s="1"/>
  <c r="G24" i="87"/>
  <c r="G34" i="87" s="1"/>
  <c r="I24" i="87"/>
  <c r="I34" i="87" s="1"/>
  <c r="J24" i="87"/>
  <c r="K24" i="87"/>
  <c r="M24" i="87"/>
  <c r="M34" i="87" s="1"/>
  <c r="N24" i="87"/>
  <c r="N34" i="87" s="1"/>
  <c r="O24" i="87"/>
  <c r="Q24" i="87"/>
  <c r="Q34" i="87" s="1"/>
  <c r="R24" i="87"/>
  <c r="R34" i="87" s="1"/>
  <c r="S24" i="87"/>
  <c r="S34" i="87" s="1"/>
  <c r="U24" i="87"/>
  <c r="U34" i="87" s="1"/>
  <c r="V24" i="87"/>
  <c r="V34" i="87" s="1"/>
  <c r="W24" i="87"/>
  <c r="W34" i="87" s="1"/>
  <c r="E24" i="87"/>
  <c r="E34" i="87" s="1"/>
  <c r="E31" i="87"/>
  <c r="E52" i="83"/>
  <c r="I52" i="83"/>
  <c r="M52" i="83"/>
  <c r="Q52" i="83"/>
  <c r="E53" i="83"/>
  <c r="I53" i="83"/>
  <c r="M53" i="83"/>
  <c r="Q53" i="83"/>
  <c r="U53" i="83"/>
  <c r="I54" i="83"/>
  <c r="I51" i="83"/>
  <c r="M51" i="83"/>
  <c r="Q51" i="83"/>
  <c r="U51" i="83"/>
  <c r="E51" i="83"/>
  <c r="I48" i="83"/>
  <c r="J48" i="83"/>
  <c r="K48" i="83"/>
  <c r="E46" i="83"/>
  <c r="F46" i="83"/>
  <c r="G46" i="83"/>
  <c r="I46" i="83"/>
  <c r="J46" i="83"/>
  <c r="K46" i="83"/>
  <c r="M46" i="83"/>
  <c r="N46" i="83"/>
  <c r="O46" i="83"/>
  <c r="Q46" i="83"/>
  <c r="R46" i="83"/>
  <c r="S46" i="83"/>
  <c r="W46" i="83"/>
  <c r="E47" i="83"/>
  <c r="F47" i="83"/>
  <c r="G47" i="83"/>
  <c r="I47" i="83"/>
  <c r="J47" i="83"/>
  <c r="K47" i="83"/>
  <c r="M47" i="83"/>
  <c r="N47" i="83"/>
  <c r="O47" i="83"/>
  <c r="Q47" i="83"/>
  <c r="R47" i="83"/>
  <c r="S47" i="83"/>
  <c r="U47" i="83"/>
  <c r="V47" i="83"/>
  <c r="W47" i="83"/>
  <c r="F45" i="83"/>
  <c r="G45" i="83"/>
  <c r="I45" i="83"/>
  <c r="J45" i="83"/>
  <c r="K45" i="83"/>
  <c r="M45" i="83"/>
  <c r="N45" i="83"/>
  <c r="O45" i="83"/>
  <c r="Q45" i="83"/>
  <c r="R45" i="83"/>
  <c r="S45" i="83"/>
  <c r="U45" i="83"/>
  <c r="V45" i="83"/>
  <c r="W45" i="83"/>
  <c r="E45" i="83"/>
  <c r="E39" i="83"/>
  <c r="F39" i="83"/>
  <c r="G39" i="83"/>
  <c r="I39" i="83"/>
  <c r="J39" i="83"/>
  <c r="K39" i="83"/>
  <c r="M39" i="83"/>
  <c r="N39" i="83"/>
  <c r="O39" i="83"/>
  <c r="Q39" i="83"/>
  <c r="R39" i="83"/>
  <c r="S39" i="83"/>
  <c r="W39" i="83"/>
  <c r="E40" i="83"/>
  <c r="F40" i="83"/>
  <c r="G40" i="83"/>
  <c r="I40" i="83"/>
  <c r="J40" i="83"/>
  <c r="K40" i="83"/>
  <c r="M40" i="83"/>
  <c r="N40" i="83"/>
  <c r="O40" i="83"/>
  <c r="Q40" i="83"/>
  <c r="R40" i="83"/>
  <c r="S40" i="83"/>
  <c r="U40" i="83"/>
  <c r="V40" i="83"/>
  <c r="W40" i="83"/>
  <c r="E41" i="83"/>
  <c r="E48" i="83" s="1"/>
  <c r="G41" i="83"/>
  <c r="G48" i="83" s="1"/>
  <c r="I41" i="83"/>
  <c r="J41" i="83"/>
  <c r="K41" i="83"/>
  <c r="Q41" i="83"/>
  <c r="Q48" i="83" s="1"/>
  <c r="R41" i="83"/>
  <c r="R48" i="83" s="1"/>
  <c r="F38" i="83"/>
  <c r="G38" i="83"/>
  <c r="I38" i="83"/>
  <c r="J38" i="83"/>
  <c r="K38" i="83"/>
  <c r="M38" i="83"/>
  <c r="N38" i="83"/>
  <c r="O38" i="83"/>
  <c r="Q38" i="83"/>
  <c r="R38" i="83"/>
  <c r="S38" i="83"/>
  <c r="U38" i="83"/>
  <c r="V38" i="83"/>
  <c r="W38" i="83"/>
  <c r="E38" i="83"/>
  <c r="E33" i="83"/>
  <c r="F33" i="83"/>
  <c r="G33" i="83"/>
  <c r="I33" i="83"/>
  <c r="J33" i="83"/>
  <c r="K33" i="83"/>
  <c r="M33" i="83"/>
  <c r="N33" i="83"/>
  <c r="O33" i="83"/>
  <c r="Q33" i="83"/>
  <c r="R33" i="83"/>
  <c r="S33" i="83"/>
  <c r="U33" i="83"/>
  <c r="U39" i="83" s="1"/>
  <c r="U46" i="83" s="1"/>
  <c r="V33" i="83"/>
  <c r="E34" i="83"/>
  <c r="F34" i="83"/>
  <c r="G34" i="83"/>
  <c r="I34" i="83"/>
  <c r="J34" i="83"/>
  <c r="K34" i="83"/>
  <c r="M34" i="83"/>
  <c r="N34" i="83"/>
  <c r="O34" i="83"/>
  <c r="Q34" i="83"/>
  <c r="R34" i="83"/>
  <c r="S34" i="83"/>
  <c r="U34" i="83"/>
  <c r="V34" i="83"/>
  <c r="W34" i="83"/>
  <c r="F35" i="83"/>
  <c r="F41" i="83" s="1"/>
  <c r="F48" i="83" s="1"/>
  <c r="G35" i="83"/>
  <c r="I35" i="83"/>
  <c r="J35" i="83"/>
  <c r="K35" i="83"/>
  <c r="M35" i="83"/>
  <c r="M41" i="83" s="1"/>
  <c r="M48" i="83" s="1"/>
  <c r="N35" i="83"/>
  <c r="N41" i="83" s="1"/>
  <c r="N48" i="83" s="1"/>
  <c r="O35" i="83"/>
  <c r="O41" i="83" s="1"/>
  <c r="O48" i="83" s="1"/>
  <c r="Q35" i="83"/>
  <c r="R35" i="83"/>
  <c r="S35" i="83"/>
  <c r="S41" i="83" s="1"/>
  <c r="S48" i="83" s="1"/>
  <c r="U35" i="83"/>
  <c r="V35" i="83"/>
  <c r="W35" i="83"/>
  <c r="F32" i="83"/>
  <c r="G32" i="83"/>
  <c r="I32" i="83"/>
  <c r="J32" i="83"/>
  <c r="K32" i="83"/>
  <c r="M32" i="83"/>
  <c r="N32" i="83"/>
  <c r="O32" i="83"/>
  <c r="Q32" i="83"/>
  <c r="R32" i="83"/>
  <c r="S32" i="83"/>
  <c r="U32" i="83"/>
  <c r="V32" i="83"/>
  <c r="W32" i="83"/>
  <c r="E32" i="83"/>
  <c r="G24" i="83"/>
  <c r="E22" i="83"/>
  <c r="F22" i="83"/>
  <c r="G22" i="83"/>
  <c r="I22" i="83"/>
  <c r="J22" i="83"/>
  <c r="K22" i="83"/>
  <c r="M22" i="83"/>
  <c r="N22" i="83"/>
  <c r="O22" i="83"/>
  <c r="Q22" i="83"/>
  <c r="R22" i="83"/>
  <c r="S22" i="83"/>
  <c r="U22" i="83"/>
  <c r="V22" i="83"/>
  <c r="V39" i="83" s="1"/>
  <c r="V46" i="83" s="1"/>
  <c r="W22" i="83"/>
  <c r="E23" i="83"/>
  <c r="F23" i="83"/>
  <c r="G23" i="83"/>
  <c r="I23" i="83"/>
  <c r="J23" i="83"/>
  <c r="K23" i="83"/>
  <c r="M23" i="83"/>
  <c r="N23" i="83"/>
  <c r="O23" i="83"/>
  <c r="Q23" i="83"/>
  <c r="R23" i="83"/>
  <c r="S23" i="83"/>
  <c r="U23" i="83"/>
  <c r="V23" i="83"/>
  <c r="W23" i="83"/>
  <c r="E24" i="83"/>
  <c r="F24" i="83"/>
  <c r="I24" i="83"/>
  <c r="J24" i="83"/>
  <c r="K24" i="83"/>
  <c r="M24" i="83"/>
  <c r="N24" i="83"/>
  <c r="O24" i="83"/>
  <c r="Q24" i="83"/>
  <c r="R24" i="83"/>
  <c r="S24" i="83"/>
  <c r="U24" i="83"/>
  <c r="V24" i="83"/>
  <c r="V41" i="83" s="1"/>
  <c r="V48" i="83" s="1"/>
  <c r="W24" i="83"/>
  <c r="W41" i="83" s="1"/>
  <c r="W48" i="83" s="1"/>
  <c r="F21" i="83"/>
  <c r="G21" i="83"/>
  <c r="I21" i="83"/>
  <c r="J21" i="83"/>
  <c r="K21" i="83"/>
  <c r="M21" i="83"/>
  <c r="N21" i="83"/>
  <c r="O21" i="83"/>
  <c r="Q21" i="83"/>
  <c r="R21" i="83"/>
  <c r="S21" i="83"/>
  <c r="U21" i="83"/>
  <c r="V21" i="83"/>
  <c r="W21" i="83"/>
  <c r="E21" i="83"/>
  <c r="I39" i="85"/>
  <c r="N39" i="85"/>
  <c r="S39" i="85"/>
  <c r="J40" i="85"/>
  <c r="O40" i="85"/>
  <c r="U40" i="85"/>
  <c r="U47" i="85" s="1"/>
  <c r="F41" i="85"/>
  <c r="K41" i="85"/>
  <c r="Q41" i="85"/>
  <c r="Q48" i="85" s="1"/>
  <c r="V41" i="85"/>
  <c r="I38" i="85"/>
  <c r="N38" i="85"/>
  <c r="R38" i="85"/>
  <c r="S38" i="85"/>
  <c r="E38" i="85"/>
  <c r="F33" i="85"/>
  <c r="F39" i="85" s="1"/>
  <c r="G33" i="85"/>
  <c r="G39" i="85" s="1"/>
  <c r="I33" i="85"/>
  <c r="J33" i="85"/>
  <c r="J39" i="85" s="1"/>
  <c r="K33" i="85"/>
  <c r="K39" i="85" s="1"/>
  <c r="M33" i="85"/>
  <c r="M39" i="85" s="1"/>
  <c r="M46" i="85" s="1"/>
  <c r="N33" i="85"/>
  <c r="O33" i="85"/>
  <c r="O39" i="85" s="1"/>
  <c r="Q33" i="85"/>
  <c r="Q39" i="85" s="1"/>
  <c r="R33" i="85"/>
  <c r="R39" i="85" s="1"/>
  <c r="S33" i="85"/>
  <c r="U33" i="85"/>
  <c r="U39" i="85" s="1"/>
  <c r="V33" i="85"/>
  <c r="V39" i="85" s="1"/>
  <c r="W33" i="85"/>
  <c r="W39" i="85" s="1"/>
  <c r="F34" i="85"/>
  <c r="F40" i="85" s="1"/>
  <c r="G34" i="85"/>
  <c r="G40" i="85" s="1"/>
  <c r="I34" i="85"/>
  <c r="I40" i="85" s="1"/>
  <c r="I47" i="85" s="1"/>
  <c r="J34" i="85"/>
  <c r="K34" i="85"/>
  <c r="K40" i="85" s="1"/>
  <c r="M34" i="85"/>
  <c r="M40" i="85" s="1"/>
  <c r="N34" i="85"/>
  <c r="N40" i="85" s="1"/>
  <c r="O34" i="85"/>
  <c r="Q34" i="85"/>
  <c r="Q40" i="85" s="1"/>
  <c r="R34" i="85"/>
  <c r="R40" i="85" s="1"/>
  <c r="S34" i="85"/>
  <c r="S40" i="85" s="1"/>
  <c r="U34" i="85"/>
  <c r="V34" i="85"/>
  <c r="V40" i="85" s="1"/>
  <c r="W34" i="85"/>
  <c r="W40" i="85" s="1"/>
  <c r="E35" i="85"/>
  <c r="E41" i="85" s="1"/>
  <c r="E48" i="85" s="1"/>
  <c r="F35" i="85"/>
  <c r="G35" i="85"/>
  <c r="G41" i="85" s="1"/>
  <c r="I35" i="85"/>
  <c r="I41" i="85" s="1"/>
  <c r="J35" i="85"/>
  <c r="J41" i="85" s="1"/>
  <c r="K35" i="85"/>
  <c r="M35" i="85"/>
  <c r="M41" i="85" s="1"/>
  <c r="N35" i="85"/>
  <c r="N41" i="85" s="1"/>
  <c r="O35" i="85"/>
  <c r="O41" i="85" s="1"/>
  <c r="Q35" i="85"/>
  <c r="R35" i="85"/>
  <c r="R41" i="85" s="1"/>
  <c r="S35" i="85"/>
  <c r="S41" i="85" s="1"/>
  <c r="U35" i="85"/>
  <c r="U41" i="85" s="1"/>
  <c r="U48" i="85" s="1"/>
  <c r="V35" i="85"/>
  <c r="W35" i="85"/>
  <c r="W41" i="85" s="1"/>
  <c r="I32" i="85"/>
  <c r="J32" i="85"/>
  <c r="J38" i="85" s="1"/>
  <c r="N32" i="85"/>
  <c r="O32" i="85"/>
  <c r="O38" i="85" s="1"/>
  <c r="S32" i="85"/>
  <c r="U32" i="85"/>
  <c r="U38" i="85" s="1"/>
  <c r="G32" i="85"/>
  <c r="G38" i="85" s="1"/>
  <c r="E32" i="85"/>
  <c r="E27" i="85"/>
  <c r="E23" i="85"/>
  <c r="E21" i="85"/>
  <c r="E33" i="85" s="1"/>
  <c r="E39" i="85" s="1"/>
  <c r="E46" i="85" s="1"/>
  <c r="E22" i="85"/>
  <c r="E34" i="85" s="1"/>
  <c r="E40" i="85" s="1"/>
  <c r="E47" i="85" s="1"/>
  <c r="F21" i="85"/>
  <c r="G21" i="85"/>
  <c r="I21" i="85"/>
  <c r="J21" i="85"/>
  <c r="K21" i="85"/>
  <c r="M21" i="85"/>
  <c r="N21" i="85"/>
  <c r="O21" i="85"/>
  <c r="Q21" i="85"/>
  <c r="R21" i="85"/>
  <c r="S21" i="85"/>
  <c r="U21" i="85"/>
  <c r="V21" i="85"/>
  <c r="W21" i="85"/>
  <c r="F22" i="85"/>
  <c r="G22" i="85"/>
  <c r="I22" i="85"/>
  <c r="J22" i="85"/>
  <c r="K22" i="85"/>
  <c r="M22" i="85"/>
  <c r="N22" i="85"/>
  <c r="O22" i="85"/>
  <c r="Q22" i="85"/>
  <c r="R22" i="85"/>
  <c r="S22" i="85"/>
  <c r="U22" i="85"/>
  <c r="V22" i="85"/>
  <c r="W22" i="85"/>
  <c r="F23" i="85"/>
  <c r="G23" i="85"/>
  <c r="I23" i="85"/>
  <c r="J23" i="85"/>
  <c r="K23" i="85"/>
  <c r="M23" i="85"/>
  <c r="N23" i="85"/>
  <c r="O23" i="85"/>
  <c r="Q23" i="85"/>
  <c r="R23" i="85"/>
  <c r="S23" i="85"/>
  <c r="U23" i="85"/>
  <c r="V23" i="85"/>
  <c r="W23" i="85"/>
  <c r="F20" i="85"/>
  <c r="F32" i="85" s="1"/>
  <c r="F38" i="85" s="1"/>
  <c r="G20" i="85"/>
  <c r="I20" i="85"/>
  <c r="J20" i="85"/>
  <c r="K20" i="85"/>
  <c r="K32" i="85" s="1"/>
  <c r="K38" i="85" s="1"/>
  <c r="M20" i="85"/>
  <c r="M32" i="85" s="1"/>
  <c r="M38" i="85" s="1"/>
  <c r="M45" i="85" s="1"/>
  <c r="N20" i="85"/>
  <c r="O20" i="85"/>
  <c r="Q20" i="85"/>
  <c r="Q32" i="85" s="1"/>
  <c r="Q38" i="85" s="1"/>
  <c r="Q45" i="85" s="1"/>
  <c r="R20" i="85"/>
  <c r="R32" i="85" s="1"/>
  <c r="S20" i="85"/>
  <c r="U20" i="85"/>
  <c r="V20" i="85"/>
  <c r="V32" i="85" s="1"/>
  <c r="V38" i="85" s="1"/>
  <c r="W20" i="85"/>
  <c r="W32" i="85" s="1"/>
  <c r="W38" i="85" s="1"/>
  <c r="E20" i="85"/>
  <c r="U42" i="87" l="1"/>
  <c r="Q43" i="87"/>
  <c r="U41" i="83"/>
  <c r="U48" i="83" s="1"/>
  <c r="Q54" i="83"/>
  <c r="M54" i="83"/>
  <c r="E54" i="83"/>
  <c r="U52" i="83"/>
  <c r="U54" i="83"/>
  <c r="I45" i="85"/>
  <c r="I48" i="85"/>
  <c r="M47" i="85"/>
  <c r="Q46" i="85"/>
  <c r="I46" i="85"/>
  <c r="U45" i="85"/>
  <c r="M48" i="85"/>
  <c r="Q47" i="85"/>
  <c r="U46" i="85"/>
  <c r="E45" i="85"/>
  <c r="L31" i="82"/>
  <c r="K31" i="82"/>
  <c r="J31" i="82"/>
  <c r="L30" i="82"/>
  <c r="K30" i="82"/>
  <c r="J30" i="82"/>
  <c r="L29" i="82"/>
  <c r="K29" i="82"/>
  <c r="J29" i="82"/>
  <c r="L28" i="82"/>
  <c r="K28" i="82"/>
  <c r="J28" i="82"/>
  <c r="L25" i="82"/>
  <c r="K25" i="82"/>
  <c r="J25" i="82"/>
  <c r="L24" i="82"/>
  <c r="K24" i="82"/>
  <c r="J24" i="82"/>
  <c r="L23" i="82"/>
  <c r="K23" i="82"/>
  <c r="J23" i="82"/>
  <c r="L22" i="82"/>
  <c r="K22" i="82"/>
  <c r="J22" i="82"/>
  <c r="L19" i="82"/>
  <c r="K19" i="82"/>
  <c r="J19" i="82"/>
  <c r="L18" i="82"/>
  <c r="K18" i="82"/>
  <c r="J18" i="82"/>
  <c r="L17" i="82"/>
  <c r="K17" i="82"/>
  <c r="J17" i="82"/>
  <c r="L16" i="82"/>
  <c r="K16" i="82"/>
  <c r="J16" i="82"/>
  <c r="L13" i="82"/>
  <c r="K13" i="82"/>
  <c r="J13" i="82"/>
  <c r="L12" i="82"/>
  <c r="K12" i="82"/>
  <c r="J12" i="82"/>
  <c r="L11" i="82"/>
  <c r="K11" i="82"/>
  <c r="J11" i="82"/>
  <c r="L10" i="82"/>
  <c r="K10" i="82"/>
  <c r="J10" i="82"/>
  <c r="L7" i="82"/>
  <c r="K7" i="82"/>
  <c r="J7" i="82"/>
  <c r="L6" i="82"/>
  <c r="K6" i="82"/>
  <c r="J6" i="82"/>
  <c r="L5" i="82"/>
  <c r="K5" i="82"/>
  <c r="J5" i="82"/>
  <c r="L4" i="82"/>
  <c r="K4" i="82"/>
  <c r="J4" i="82"/>
  <c r="L31" i="81"/>
  <c r="K31" i="81"/>
  <c r="J31" i="81"/>
  <c r="L30" i="81"/>
  <c r="K30" i="81"/>
  <c r="J30" i="81"/>
  <c r="L29" i="81"/>
  <c r="K29" i="81"/>
  <c r="J29" i="81"/>
  <c r="L28" i="81"/>
  <c r="K28" i="81"/>
  <c r="J28" i="81"/>
  <c r="L25" i="81"/>
  <c r="K25" i="81"/>
  <c r="J25" i="81"/>
  <c r="L24" i="81"/>
  <c r="K24" i="81"/>
  <c r="J24" i="81"/>
  <c r="L23" i="81"/>
  <c r="K23" i="81"/>
  <c r="J23" i="81"/>
  <c r="L22" i="81"/>
  <c r="K22" i="81"/>
  <c r="J22" i="81"/>
  <c r="L19" i="81"/>
  <c r="K19" i="81"/>
  <c r="J19" i="81"/>
  <c r="L18" i="81"/>
  <c r="K18" i="81"/>
  <c r="J18" i="81"/>
  <c r="L17" i="81"/>
  <c r="K17" i="81"/>
  <c r="J17" i="81"/>
  <c r="L16" i="81"/>
  <c r="K16" i="81"/>
  <c r="J16" i="81"/>
  <c r="L13" i="81"/>
  <c r="K13" i="81"/>
  <c r="J13" i="81"/>
  <c r="L12" i="81"/>
  <c r="K12" i="81"/>
  <c r="J12" i="81"/>
  <c r="L11" i="81"/>
  <c r="K11" i="81"/>
  <c r="J11" i="81"/>
  <c r="L10" i="81"/>
  <c r="K10" i="81"/>
  <c r="J10" i="81"/>
  <c r="L7" i="81"/>
  <c r="K7" i="81"/>
  <c r="J7" i="81"/>
  <c r="L6" i="81"/>
  <c r="K6" i="81"/>
  <c r="J6" i="81"/>
  <c r="L5" i="81"/>
  <c r="K5" i="81"/>
  <c r="J5" i="81"/>
  <c r="L4" i="81"/>
  <c r="K4" i="81"/>
  <c r="J4" i="81"/>
  <c r="L31" i="80"/>
  <c r="K31" i="80"/>
  <c r="J31" i="80"/>
  <c r="L30" i="80"/>
  <c r="K30" i="80"/>
  <c r="J30" i="80"/>
  <c r="L29" i="80"/>
  <c r="K29" i="80"/>
  <c r="J29" i="80"/>
  <c r="L28" i="80"/>
  <c r="K28" i="80"/>
  <c r="J28" i="80"/>
  <c r="L25" i="80"/>
  <c r="K25" i="80"/>
  <c r="J25" i="80"/>
  <c r="L24" i="80"/>
  <c r="K24" i="80"/>
  <c r="J24" i="80"/>
  <c r="L23" i="80"/>
  <c r="K23" i="80"/>
  <c r="J23" i="80"/>
  <c r="L22" i="80"/>
  <c r="K22" i="80"/>
  <c r="J22" i="80"/>
  <c r="L19" i="80"/>
  <c r="K19" i="80"/>
  <c r="J19" i="80"/>
  <c r="L18" i="80"/>
  <c r="K18" i="80"/>
  <c r="J18" i="80"/>
  <c r="L17" i="80"/>
  <c r="K17" i="80"/>
  <c r="J17" i="80"/>
  <c r="L16" i="80"/>
  <c r="K16" i="80"/>
  <c r="J16" i="80"/>
  <c r="L13" i="80"/>
  <c r="K13" i="80"/>
  <c r="J13" i="80"/>
  <c r="L12" i="80"/>
  <c r="K12" i="80"/>
  <c r="J12" i="80"/>
  <c r="L11" i="80"/>
  <c r="K11" i="80"/>
  <c r="J11" i="80"/>
  <c r="L10" i="80"/>
  <c r="K10" i="80"/>
  <c r="J10" i="80"/>
  <c r="L7" i="80"/>
  <c r="K7" i="80"/>
  <c r="J7" i="80"/>
  <c r="L6" i="80"/>
  <c r="K6" i="80"/>
  <c r="J6" i="80"/>
  <c r="L5" i="80"/>
  <c r="K5" i="80"/>
  <c r="J5" i="80"/>
  <c r="L4" i="80"/>
  <c r="K4" i="80"/>
  <c r="J4" i="80"/>
  <c r="L31" i="79"/>
  <c r="K31" i="79"/>
  <c r="J31" i="79"/>
  <c r="L30" i="79"/>
  <c r="K30" i="79"/>
  <c r="J30" i="79"/>
  <c r="L29" i="79"/>
  <c r="K29" i="79"/>
  <c r="J29" i="79"/>
  <c r="L28" i="79"/>
  <c r="K28" i="79"/>
  <c r="J28" i="79"/>
  <c r="L25" i="79"/>
  <c r="K25" i="79"/>
  <c r="J25" i="79"/>
  <c r="L24" i="79"/>
  <c r="K24" i="79"/>
  <c r="J24" i="79"/>
  <c r="L23" i="79"/>
  <c r="K23" i="79"/>
  <c r="J23" i="79"/>
  <c r="L22" i="79"/>
  <c r="K22" i="79"/>
  <c r="J22" i="79"/>
  <c r="L19" i="79"/>
  <c r="K19" i="79"/>
  <c r="J19" i="79"/>
  <c r="L18" i="79"/>
  <c r="K18" i="79"/>
  <c r="J18" i="79"/>
  <c r="L17" i="79"/>
  <c r="K17" i="79"/>
  <c r="J17" i="79"/>
  <c r="L16" i="79"/>
  <c r="K16" i="79"/>
  <c r="J16" i="79"/>
  <c r="L13" i="79"/>
  <c r="K13" i="79"/>
  <c r="J13" i="79"/>
  <c r="L12" i="79"/>
  <c r="K12" i="79"/>
  <c r="J12" i="79"/>
  <c r="L11" i="79"/>
  <c r="K11" i="79"/>
  <c r="J11" i="79"/>
  <c r="L10" i="79"/>
  <c r="K10" i="79"/>
  <c r="J10" i="79"/>
  <c r="L7" i="79"/>
  <c r="K7" i="79"/>
  <c r="J7" i="79"/>
  <c r="L6" i="79"/>
  <c r="K6" i="79"/>
  <c r="J6" i="79"/>
  <c r="L5" i="79"/>
  <c r="K5" i="79"/>
  <c r="J5" i="79"/>
  <c r="L4" i="79"/>
  <c r="K4" i="79"/>
  <c r="J4" i="79"/>
  <c r="L31" i="78"/>
  <c r="K31" i="78"/>
  <c r="J31" i="78"/>
  <c r="L30" i="78"/>
  <c r="K30" i="78"/>
  <c r="J30" i="78"/>
  <c r="L29" i="78"/>
  <c r="K29" i="78"/>
  <c r="J29" i="78"/>
  <c r="L28" i="78"/>
  <c r="K28" i="78"/>
  <c r="J28" i="78"/>
  <c r="L25" i="78"/>
  <c r="K25" i="78"/>
  <c r="J25" i="78"/>
  <c r="L24" i="78"/>
  <c r="K24" i="78"/>
  <c r="J24" i="78"/>
  <c r="L23" i="78"/>
  <c r="K23" i="78"/>
  <c r="J23" i="78"/>
  <c r="L22" i="78"/>
  <c r="K22" i="78"/>
  <c r="J22" i="78"/>
  <c r="L19" i="78"/>
  <c r="K19" i="78"/>
  <c r="J19" i="78"/>
  <c r="L18" i="78"/>
  <c r="K18" i="78"/>
  <c r="J18" i="78"/>
  <c r="L17" i="78"/>
  <c r="K17" i="78"/>
  <c r="J17" i="78"/>
  <c r="L16" i="78"/>
  <c r="K16" i="78"/>
  <c r="J16" i="78"/>
  <c r="L13" i="78"/>
  <c r="K13" i="78"/>
  <c r="J13" i="78"/>
  <c r="L12" i="78"/>
  <c r="K12" i="78"/>
  <c r="J12" i="78"/>
  <c r="L11" i="78"/>
  <c r="K11" i="78"/>
  <c r="J11" i="78"/>
  <c r="L10" i="78"/>
  <c r="K10" i="78"/>
  <c r="J10" i="78"/>
  <c r="L7" i="78"/>
  <c r="K7" i="78"/>
  <c r="J7" i="78"/>
  <c r="L6" i="78"/>
  <c r="K6" i="78"/>
  <c r="J6" i="78"/>
  <c r="L5" i="78"/>
  <c r="K5" i="78"/>
  <c r="J5" i="78"/>
  <c r="L4" i="78"/>
  <c r="K4" i="78"/>
  <c r="J4" i="78"/>
  <c r="N13" i="81" l="1"/>
  <c r="O25" i="79"/>
  <c r="O29" i="82"/>
  <c r="N5" i="82"/>
  <c r="Q5" i="82" s="1"/>
  <c r="S5" i="82" s="1"/>
  <c r="O16" i="82"/>
  <c r="O13" i="82"/>
  <c r="N30" i="82"/>
  <c r="N31" i="82"/>
  <c r="Q31" i="82" s="1"/>
  <c r="S31" i="82" s="1"/>
  <c r="O11" i="82"/>
  <c r="N4" i="82"/>
  <c r="Q4" i="82" s="1"/>
  <c r="S4" i="82" s="1"/>
  <c r="N10" i="82"/>
  <c r="Q10" i="82" s="1"/>
  <c r="S10" i="82" s="1"/>
  <c r="O23" i="82"/>
  <c r="N24" i="82"/>
  <c r="O28" i="82"/>
  <c r="O6" i="82"/>
  <c r="O17" i="82"/>
  <c r="O22" i="82"/>
  <c r="N7" i="82"/>
  <c r="Q7" i="82" s="1"/>
  <c r="S7" i="82" s="1"/>
  <c r="N17" i="82"/>
  <c r="N18" i="82"/>
  <c r="O10" i="82"/>
  <c r="N11" i="82"/>
  <c r="O12" i="82"/>
  <c r="N19" i="82"/>
  <c r="N23" i="82"/>
  <c r="Q23" i="82" s="1"/>
  <c r="S23" i="82" s="1"/>
  <c r="O25" i="82"/>
  <c r="O31" i="82"/>
  <c r="O4" i="82"/>
  <c r="O5" i="82"/>
  <c r="N6" i="82"/>
  <c r="Q6" i="82" s="1"/>
  <c r="S6" i="82" s="1"/>
  <c r="O7" i="82"/>
  <c r="N12" i="82"/>
  <c r="Q12" i="82" s="1"/>
  <c r="S12" i="82" s="1"/>
  <c r="N13" i="82"/>
  <c r="Q13" i="82" s="1"/>
  <c r="S13" i="82" s="1"/>
  <c r="O18" i="82"/>
  <c r="N22" i="82"/>
  <c r="Q22" i="82" s="1"/>
  <c r="S22" i="82" s="1"/>
  <c r="O24" i="82"/>
  <c r="N25" i="82"/>
  <c r="N28" i="82"/>
  <c r="Q28" i="82" s="1"/>
  <c r="S28" i="82" s="1"/>
  <c r="N29" i="82"/>
  <c r="Q29" i="82" s="1"/>
  <c r="S29" i="82" s="1"/>
  <c r="N18" i="81"/>
  <c r="N17" i="81"/>
  <c r="Q17" i="81" s="1"/>
  <c r="S17" i="81" s="1"/>
  <c r="N4" i="81"/>
  <c r="Q4" i="81" s="1"/>
  <c r="S4" i="81" s="1"/>
  <c r="O10" i="81"/>
  <c r="O12" i="81"/>
  <c r="N16" i="81"/>
  <c r="Q16" i="81" s="1"/>
  <c r="S16" i="81" s="1"/>
  <c r="O18" i="81"/>
  <c r="O19" i="81"/>
  <c r="N28" i="81"/>
  <c r="Q28" i="81" s="1"/>
  <c r="S28" i="81" s="1"/>
  <c r="N31" i="81"/>
  <c r="N29" i="81"/>
  <c r="N30" i="81"/>
  <c r="N5" i="81"/>
  <c r="N7" i="81"/>
  <c r="O28" i="81"/>
  <c r="O31" i="81"/>
  <c r="O4" i="81"/>
  <c r="O22" i="81"/>
  <c r="N23" i="81"/>
  <c r="Q23" i="81" s="1"/>
  <c r="S23" i="81" s="1"/>
  <c r="O25" i="81"/>
  <c r="O6" i="81"/>
  <c r="N12" i="81"/>
  <c r="O16" i="81"/>
  <c r="O23" i="81"/>
  <c r="N24" i="81"/>
  <c r="N25" i="81"/>
  <c r="O30" i="81"/>
  <c r="O7" i="81"/>
  <c r="N10" i="81"/>
  <c r="Q10" i="81" s="1"/>
  <c r="S10" i="81" s="1"/>
  <c r="O11" i="81"/>
  <c r="O17" i="81"/>
  <c r="N22" i="81"/>
  <c r="Q22" i="81" s="1"/>
  <c r="S22" i="81" s="1"/>
  <c r="O16" i="80"/>
  <c r="O22" i="80"/>
  <c r="N30" i="80"/>
  <c r="O6" i="80"/>
  <c r="N5" i="80"/>
  <c r="N31" i="80"/>
  <c r="O11" i="80"/>
  <c r="O13" i="80"/>
  <c r="O29" i="80"/>
  <c r="N10" i="80"/>
  <c r="Q10" i="80" s="1"/>
  <c r="S10" i="80" s="1"/>
  <c r="O23" i="80"/>
  <c r="N24" i="80"/>
  <c r="O28" i="80"/>
  <c r="N18" i="80"/>
  <c r="O5" i="80"/>
  <c r="N6" i="80"/>
  <c r="N12" i="80"/>
  <c r="N13" i="80"/>
  <c r="Q13" i="80" s="1"/>
  <c r="S13" i="80" s="1"/>
  <c r="N22" i="80"/>
  <c r="Q22" i="80" s="1"/>
  <c r="S22" i="80" s="1"/>
  <c r="O24" i="80"/>
  <c r="N25" i="80"/>
  <c r="Q25" i="80" s="1"/>
  <c r="S25" i="80" s="1"/>
  <c r="N28" i="80"/>
  <c r="Q28" i="80" s="1"/>
  <c r="S28" i="80" s="1"/>
  <c r="N29" i="80"/>
  <c r="N7" i="80"/>
  <c r="Q7" i="80" s="1"/>
  <c r="S7" i="80" s="1"/>
  <c r="N17" i="80"/>
  <c r="N4" i="80"/>
  <c r="Q4" i="80" s="1"/>
  <c r="S4" i="80" s="1"/>
  <c r="O10" i="80"/>
  <c r="N11" i="80"/>
  <c r="Q11" i="80" s="1"/>
  <c r="S11" i="80" s="1"/>
  <c r="N16" i="80"/>
  <c r="Q16" i="80" s="1"/>
  <c r="S16" i="80" s="1"/>
  <c r="N19" i="80"/>
  <c r="N23" i="80"/>
  <c r="Q23" i="80" s="1"/>
  <c r="S23" i="80" s="1"/>
  <c r="O25" i="80"/>
  <c r="O31" i="80"/>
  <c r="N18" i="79"/>
  <c r="O24" i="79"/>
  <c r="N13" i="79"/>
  <c r="O19" i="79"/>
  <c r="N28" i="79"/>
  <c r="Q28" i="79" s="1"/>
  <c r="S28" i="79" s="1"/>
  <c r="N4" i="79"/>
  <c r="Q4" i="79" s="1"/>
  <c r="S4" i="79" s="1"/>
  <c r="O29" i="79"/>
  <c r="N17" i="79"/>
  <c r="N23" i="79"/>
  <c r="N31" i="79"/>
  <c r="O6" i="79"/>
  <c r="N7" i="79"/>
  <c r="O12" i="79"/>
  <c r="N16" i="79"/>
  <c r="Q16" i="79" s="1"/>
  <c r="S16" i="79" s="1"/>
  <c r="O18" i="79"/>
  <c r="N22" i="79"/>
  <c r="Q22" i="79" s="1"/>
  <c r="S22" i="79" s="1"/>
  <c r="N29" i="79"/>
  <c r="O30" i="79"/>
  <c r="O4" i="79"/>
  <c r="N5" i="79"/>
  <c r="O28" i="79"/>
  <c r="O11" i="79"/>
  <c r="O17" i="79"/>
  <c r="O23" i="79"/>
  <c r="N24" i="79"/>
  <c r="N30" i="79"/>
  <c r="O7" i="79"/>
  <c r="N10" i="79"/>
  <c r="Q10" i="79" s="1"/>
  <c r="S10" i="79" s="1"/>
  <c r="N12" i="79"/>
  <c r="O16" i="79"/>
  <c r="O22" i="79"/>
  <c r="N25" i="79"/>
  <c r="O31" i="79"/>
  <c r="N31" i="78"/>
  <c r="N22" i="78"/>
  <c r="Q22" i="78" s="1"/>
  <c r="S22" i="78" s="1"/>
  <c r="N29" i="78"/>
  <c r="N7" i="78"/>
  <c r="N30" i="78"/>
  <c r="N10" i="78"/>
  <c r="Q10" i="78" s="1"/>
  <c r="S10" i="78" s="1"/>
  <c r="O12" i="78"/>
  <c r="N16" i="78"/>
  <c r="Q16" i="78" s="1"/>
  <c r="S16" i="78" s="1"/>
  <c r="O18" i="78"/>
  <c r="O28" i="78"/>
  <c r="O31" i="78"/>
  <c r="O25" i="78"/>
  <c r="O4" i="78"/>
  <c r="N13" i="78"/>
  <c r="Q13" i="78" s="1"/>
  <c r="S13" i="78" s="1"/>
  <c r="N17" i="78"/>
  <c r="N18" i="78"/>
  <c r="Q18" i="78" s="1"/>
  <c r="S18" i="78" s="1"/>
  <c r="O19" i="78"/>
  <c r="N23" i="78"/>
  <c r="Q23" i="78" s="1"/>
  <c r="S23" i="78" s="1"/>
  <c r="N28" i="78"/>
  <c r="Q28" i="78" s="1"/>
  <c r="S28" i="78" s="1"/>
  <c r="N5" i="78"/>
  <c r="Q30" i="78"/>
  <c r="S30" i="78" s="1"/>
  <c r="N19" i="78"/>
  <c r="Q19" i="78" s="1"/>
  <c r="S19" i="78" s="1"/>
  <c r="O11" i="78"/>
  <c r="O17" i="78"/>
  <c r="O23" i="78"/>
  <c r="N24" i="78"/>
  <c r="Q24" i="78" s="1"/>
  <c r="S24" i="78" s="1"/>
  <c r="N25" i="78"/>
  <c r="N6" i="78"/>
  <c r="N4" i="78"/>
  <c r="Q4" i="78" s="1"/>
  <c r="S4" i="78" s="1"/>
  <c r="O5" i="78"/>
  <c r="O7" i="78"/>
  <c r="O10" i="78"/>
  <c r="N11" i="78"/>
  <c r="N12" i="78"/>
  <c r="Q12" i="78" s="1"/>
  <c r="S12" i="78" s="1"/>
  <c r="O16" i="78"/>
  <c r="O22" i="78"/>
  <c r="O30" i="78"/>
  <c r="N16" i="82"/>
  <c r="O19" i="82"/>
  <c r="O30" i="82"/>
  <c r="O5" i="81"/>
  <c r="O24" i="81"/>
  <c r="O29" i="81"/>
  <c r="N6" i="81"/>
  <c r="Q6" i="81" s="1"/>
  <c r="S6" i="81" s="1"/>
  <c r="N11" i="81"/>
  <c r="N19" i="81"/>
  <c r="O13" i="81"/>
  <c r="O4" i="80"/>
  <c r="O7" i="80"/>
  <c r="O12" i="80"/>
  <c r="O17" i="80"/>
  <c r="O18" i="80"/>
  <c r="O19" i="80"/>
  <c r="O30" i="80"/>
  <c r="O5" i="79"/>
  <c r="O13" i="79"/>
  <c r="N6" i="79"/>
  <c r="N11" i="79"/>
  <c r="N19" i="79"/>
  <c r="O10" i="79"/>
  <c r="O6" i="78"/>
  <c r="O13" i="78"/>
  <c r="O24" i="78"/>
  <c r="O29" i="78"/>
  <c r="Q30" i="82" l="1"/>
  <c r="S30" i="82" s="1"/>
  <c r="Q25" i="82"/>
  <c r="S25" i="82" s="1"/>
  <c r="Q11" i="82"/>
  <c r="S11" i="82" s="1"/>
  <c r="Q18" i="82"/>
  <c r="S18" i="82" s="1"/>
  <c r="Q24" i="82"/>
  <c r="S24" i="82" s="1"/>
  <c r="Q7" i="81"/>
  <c r="S7" i="81" s="1"/>
  <c r="Q5" i="81"/>
  <c r="S5" i="81" s="1"/>
  <c r="Q19" i="81"/>
  <c r="S19" i="81" s="1"/>
  <c r="Q18" i="81"/>
  <c r="S18" i="81" s="1"/>
  <c r="Q30" i="81"/>
  <c r="S30" i="81" s="1"/>
  <c r="Q31" i="81"/>
  <c r="S31" i="81" s="1"/>
  <c r="Q29" i="81"/>
  <c r="S29" i="81" s="1"/>
  <c r="Q25" i="81"/>
  <c r="S25" i="81" s="1"/>
  <c r="Q24" i="81"/>
  <c r="S24" i="81" s="1"/>
  <c r="Q11" i="81"/>
  <c r="S11" i="81" s="1"/>
  <c r="Q13" i="81"/>
  <c r="S13" i="81" s="1"/>
  <c r="Q12" i="81"/>
  <c r="S12" i="81" s="1"/>
  <c r="Q18" i="80"/>
  <c r="S18" i="80" s="1"/>
  <c r="Q29" i="80"/>
  <c r="S29" i="80" s="1"/>
  <c r="Q12" i="80"/>
  <c r="S12" i="80" s="1"/>
  <c r="Q6" i="80"/>
  <c r="S6" i="80" s="1"/>
  <c r="Q5" i="80"/>
  <c r="S5" i="80" s="1"/>
  <c r="Q19" i="80"/>
  <c r="S19" i="80" s="1"/>
  <c r="Q31" i="80"/>
  <c r="S31" i="80" s="1"/>
  <c r="Q30" i="80"/>
  <c r="S30" i="80" s="1"/>
  <c r="Q17" i="80"/>
  <c r="S17" i="80" s="1"/>
  <c r="Q24" i="80"/>
  <c r="S24" i="80" s="1"/>
  <c r="Q19" i="79"/>
  <c r="S19" i="79" s="1"/>
  <c r="Q18" i="79"/>
  <c r="S18" i="79" s="1"/>
  <c r="Q5" i="79"/>
  <c r="S5" i="79" s="1"/>
  <c r="Q6" i="79"/>
  <c r="S6" i="79" s="1"/>
  <c r="Q17" i="79"/>
  <c r="S17" i="79" s="1"/>
  <c r="Q7" i="79"/>
  <c r="S7" i="79" s="1"/>
  <c r="Q23" i="79"/>
  <c r="S23" i="79" s="1"/>
  <c r="Q13" i="79"/>
  <c r="S13" i="79" s="1"/>
  <c r="Q24" i="79"/>
  <c r="S24" i="79" s="1"/>
  <c r="Q29" i="79"/>
  <c r="S29" i="79" s="1"/>
  <c r="Q31" i="79"/>
  <c r="S31" i="79" s="1"/>
  <c r="Q12" i="79"/>
  <c r="S12" i="79" s="1"/>
  <c r="Q30" i="79"/>
  <c r="S30" i="79" s="1"/>
  <c r="Q25" i="79"/>
  <c r="S25" i="79" s="1"/>
  <c r="Q11" i="79"/>
  <c r="S11" i="79" s="1"/>
  <c r="Q11" i="78"/>
  <c r="S11" i="78" s="1"/>
  <c r="Q25" i="78"/>
  <c r="S25" i="78" s="1"/>
  <c r="Q17" i="78"/>
  <c r="S17" i="78" s="1"/>
  <c r="Q29" i="78"/>
  <c r="S29" i="78" s="1"/>
  <c r="Q31" i="78"/>
  <c r="S31" i="78" s="1"/>
  <c r="Q5" i="78"/>
  <c r="S5" i="78" s="1"/>
  <c r="Q7" i="78"/>
  <c r="S7" i="78" s="1"/>
  <c r="Q6" i="78"/>
  <c r="S6" i="78" s="1"/>
  <c r="Q16" i="82"/>
  <c r="S16" i="82" s="1"/>
  <c r="Q17" i="82"/>
  <c r="S17" i="82" s="1"/>
  <c r="Q19" i="82"/>
  <c r="S19" i="82" s="1"/>
  <c r="X23" i="77" l="1"/>
  <c r="X32" i="77" s="1"/>
  <c r="X39" i="77" s="1"/>
  <c r="V23" i="77"/>
  <c r="V32" i="77" s="1"/>
  <c r="V39" i="77" s="1"/>
  <c r="T23" i="77"/>
  <c r="T32" i="77" s="1"/>
  <c r="T39" i="77" s="1"/>
  <c r="R23" i="77"/>
  <c r="R32" i="77" s="1"/>
  <c r="R39" i="77" s="1"/>
  <c r="P23" i="77"/>
  <c r="P32" i="77" s="1"/>
  <c r="P39" i="77" s="1"/>
  <c r="N23" i="77"/>
  <c r="N32" i="77" s="1"/>
  <c r="N39" i="77" s="1"/>
  <c r="L23" i="77"/>
  <c r="L32" i="77" s="1"/>
  <c r="L39" i="77" s="1"/>
  <c r="J23" i="77"/>
  <c r="J32" i="77" s="1"/>
  <c r="J39" i="77" s="1"/>
  <c r="H23" i="77"/>
  <c r="H32" i="77" s="1"/>
  <c r="H39" i="77" s="1"/>
  <c r="F23" i="77"/>
  <c r="F32" i="77" s="1"/>
  <c r="F39" i="77" s="1"/>
  <c r="D23" i="77"/>
  <c r="D32" i="77" s="1"/>
  <c r="D39" i="77" s="1"/>
  <c r="B23" i="77"/>
  <c r="B32" i="77" s="1"/>
  <c r="B39" i="77" s="1"/>
  <c r="X22" i="77"/>
  <c r="X31" i="77" s="1"/>
  <c r="X38" i="77" s="1"/>
  <c r="V22" i="77"/>
  <c r="V31" i="77" s="1"/>
  <c r="V38" i="77" s="1"/>
  <c r="T22" i="77"/>
  <c r="T31" i="77" s="1"/>
  <c r="T38" i="77" s="1"/>
  <c r="R22" i="77"/>
  <c r="R31" i="77" s="1"/>
  <c r="R38" i="77" s="1"/>
  <c r="P22" i="77"/>
  <c r="P31" i="77" s="1"/>
  <c r="P38" i="77" s="1"/>
  <c r="N22" i="77"/>
  <c r="N31" i="77" s="1"/>
  <c r="N38" i="77" s="1"/>
  <c r="L22" i="77"/>
  <c r="L31" i="77" s="1"/>
  <c r="L38" i="77" s="1"/>
  <c r="J22" i="77"/>
  <c r="J31" i="77" s="1"/>
  <c r="J38" i="77" s="1"/>
  <c r="H22" i="77"/>
  <c r="H31" i="77" s="1"/>
  <c r="H38" i="77" s="1"/>
  <c r="F22" i="77"/>
  <c r="F31" i="77" s="1"/>
  <c r="F38" i="77" s="1"/>
  <c r="D22" i="77"/>
  <c r="D31" i="77" s="1"/>
  <c r="D38" i="77" s="1"/>
  <c r="B22" i="77"/>
  <c r="B31" i="77" s="1"/>
  <c r="B38" i="77" s="1"/>
  <c r="X21" i="77"/>
  <c r="X30" i="77" s="1"/>
  <c r="X37" i="77" s="1"/>
  <c r="V21" i="77"/>
  <c r="V30" i="77" s="1"/>
  <c r="V37" i="77" s="1"/>
  <c r="T21" i="77"/>
  <c r="T30" i="77" s="1"/>
  <c r="T37" i="77" s="1"/>
  <c r="R21" i="77"/>
  <c r="R30" i="77" s="1"/>
  <c r="R37" i="77" s="1"/>
  <c r="P21" i="77"/>
  <c r="P30" i="77" s="1"/>
  <c r="P37" i="77" s="1"/>
  <c r="N21" i="77"/>
  <c r="N30" i="77" s="1"/>
  <c r="N37" i="77" s="1"/>
  <c r="L21" i="77"/>
  <c r="L30" i="77" s="1"/>
  <c r="L37" i="77" s="1"/>
  <c r="J21" i="77"/>
  <c r="J30" i="77" s="1"/>
  <c r="J37" i="77" s="1"/>
  <c r="H21" i="77"/>
  <c r="H30" i="77" s="1"/>
  <c r="H37" i="77" s="1"/>
  <c r="F21" i="77"/>
  <c r="F30" i="77" s="1"/>
  <c r="F37" i="77" s="1"/>
  <c r="D21" i="77"/>
  <c r="D30" i="77" s="1"/>
  <c r="D37" i="77" s="1"/>
  <c r="B21" i="77"/>
  <c r="B30" i="77" s="1"/>
  <c r="B37" i="77" s="1"/>
  <c r="X20" i="77"/>
  <c r="X29" i="77" s="1"/>
  <c r="X36" i="77" s="1"/>
  <c r="V20" i="77"/>
  <c r="V29" i="77" s="1"/>
  <c r="V36" i="77" s="1"/>
  <c r="T20" i="77"/>
  <c r="T29" i="77" s="1"/>
  <c r="T36" i="77" s="1"/>
  <c r="R20" i="77"/>
  <c r="R29" i="77" s="1"/>
  <c r="R36" i="77" s="1"/>
  <c r="P20" i="77"/>
  <c r="P29" i="77" s="1"/>
  <c r="P36" i="77" s="1"/>
  <c r="N20" i="77"/>
  <c r="N29" i="77" s="1"/>
  <c r="N36" i="77" s="1"/>
  <c r="L20" i="77"/>
  <c r="L29" i="77" s="1"/>
  <c r="L36" i="77" s="1"/>
  <c r="J20" i="77"/>
  <c r="J29" i="77" s="1"/>
  <c r="J36" i="77" s="1"/>
  <c r="H20" i="77"/>
  <c r="H29" i="77" s="1"/>
  <c r="H36" i="77" s="1"/>
  <c r="F20" i="77"/>
  <c r="F29" i="77" s="1"/>
  <c r="F36" i="77" s="1"/>
  <c r="D20" i="77"/>
  <c r="D29" i="77" s="1"/>
  <c r="D36" i="77" s="1"/>
  <c r="B20" i="77"/>
  <c r="B29" i="77" s="1"/>
  <c r="B36" i="77" s="1"/>
  <c r="X19" i="77"/>
  <c r="X28" i="77" s="1"/>
  <c r="X35" i="77" s="1"/>
  <c r="V19" i="77"/>
  <c r="V28" i="77" s="1"/>
  <c r="V35" i="77" s="1"/>
  <c r="T19" i="77"/>
  <c r="T28" i="77" s="1"/>
  <c r="T35" i="77" s="1"/>
  <c r="R19" i="77"/>
  <c r="R28" i="77" s="1"/>
  <c r="R35" i="77" s="1"/>
  <c r="P19" i="77"/>
  <c r="P28" i="77" s="1"/>
  <c r="P35" i="77" s="1"/>
  <c r="N19" i="77"/>
  <c r="N28" i="77" s="1"/>
  <c r="N35" i="77" s="1"/>
  <c r="L19" i="77"/>
  <c r="L28" i="77" s="1"/>
  <c r="L35" i="77" s="1"/>
  <c r="J19" i="77"/>
  <c r="J28" i="77" s="1"/>
  <c r="J35" i="77" s="1"/>
  <c r="H19" i="77"/>
  <c r="H28" i="77" s="1"/>
  <c r="H35" i="77" s="1"/>
  <c r="F19" i="77"/>
  <c r="F28" i="77" s="1"/>
  <c r="F35" i="77" s="1"/>
  <c r="D19" i="77"/>
  <c r="D28" i="77" s="1"/>
  <c r="D35" i="77" s="1"/>
  <c r="B19" i="77"/>
  <c r="B28" i="77" s="1"/>
  <c r="B35" i="77" s="1"/>
  <c r="M64" i="75" l="1"/>
  <c r="L64" i="75"/>
  <c r="K64" i="75"/>
  <c r="M63" i="75"/>
  <c r="L63" i="75"/>
  <c r="K63" i="75"/>
  <c r="M59" i="75"/>
  <c r="L59" i="75"/>
  <c r="O59" i="75" s="1"/>
  <c r="K59" i="75"/>
  <c r="M58" i="75"/>
  <c r="L58" i="75"/>
  <c r="K58" i="75"/>
  <c r="M54" i="75"/>
  <c r="L54" i="75"/>
  <c r="K54" i="75"/>
  <c r="M53" i="75"/>
  <c r="L53" i="75"/>
  <c r="K53" i="75"/>
  <c r="M49" i="75"/>
  <c r="L49" i="75"/>
  <c r="O49" i="75" s="1"/>
  <c r="K49" i="75"/>
  <c r="M48" i="75"/>
  <c r="L48" i="75"/>
  <c r="K48" i="75"/>
  <c r="P48" i="75" s="1"/>
  <c r="M44" i="75"/>
  <c r="L44" i="75"/>
  <c r="K44" i="75"/>
  <c r="M43" i="75"/>
  <c r="L43" i="75"/>
  <c r="K43" i="75"/>
  <c r="M39" i="75"/>
  <c r="L39" i="75"/>
  <c r="O39" i="75" s="1"/>
  <c r="K39" i="75"/>
  <c r="M38" i="75"/>
  <c r="L38" i="75"/>
  <c r="K38" i="75"/>
  <c r="M34" i="75"/>
  <c r="L34" i="75"/>
  <c r="K34" i="75"/>
  <c r="M33" i="75"/>
  <c r="L33" i="75"/>
  <c r="K33" i="75"/>
  <c r="M29" i="75"/>
  <c r="L29" i="75"/>
  <c r="O29" i="75" s="1"/>
  <c r="K29" i="75"/>
  <c r="M28" i="75"/>
  <c r="L28" i="75"/>
  <c r="K28" i="75"/>
  <c r="M24" i="75"/>
  <c r="L24" i="75"/>
  <c r="K24" i="75"/>
  <c r="M23" i="75"/>
  <c r="L23" i="75"/>
  <c r="K23" i="75"/>
  <c r="M19" i="75"/>
  <c r="L19" i="75"/>
  <c r="O19" i="75" s="1"/>
  <c r="K19" i="75"/>
  <c r="M18" i="75"/>
  <c r="L18" i="75"/>
  <c r="K18" i="75"/>
  <c r="M14" i="75"/>
  <c r="L14" i="75"/>
  <c r="K14" i="75"/>
  <c r="M13" i="75"/>
  <c r="L13" i="75"/>
  <c r="K13" i="75"/>
  <c r="M10" i="75"/>
  <c r="L10" i="75"/>
  <c r="O10" i="75" s="1"/>
  <c r="K10" i="75"/>
  <c r="M9" i="75"/>
  <c r="L9" i="75"/>
  <c r="K9" i="75"/>
  <c r="M6" i="75"/>
  <c r="L6" i="75"/>
  <c r="K6" i="75"/>
  <c r="M5" i="75"/>
  <c r="L5" i="75"/>
  <c r="K5" i="75"/>
  <c r="P5" i="75" l="1"/>
  <c r="O6" i="75"/>
  <c r="P13" i="75"/>
  <c r="O14" i="75"/>
  <c r="P23" i="75"/>
  <c r="O24" i="75"/>
  <c r="P33" i="75"/>
  <c r="O34" i="75"/>
  <c r="P43" i="75"/>
  <c r="O44" i="75"/>
  <c r="O54" i="75"/>
  <c r="P63" i="75"/>
  <c r="O64" i="75"/>
  <c r="R54" i="75"/>
  <c r="T54" i="75" s="1"/>
  <c r="V54" i="75" s="1"/>
  <c r="P9" i="75"/>
  <c r="P18" i="75"/>
  <c r="P28" i="75"/>
  <c r="P38" i="75"/>
  <c r="P53" i="75"/>
  <c r="O9" i="75"/>
  <c r="R9" i="75" s="1"/>
  <c r="T9" i="75" s="1"/>
  <c r="V9" i="75" s="1"/>
  <c r="P10" i="75"/>
  <c r="O18" i="75"/>
  <c r="R18" i="75" s="1"/>
  <c r="T18" i="75" s="1"/>
  <c r="V18" i="75" s="1"/>
  <c r="P19" i="75"/>
  <c r="O28" i="75"/>
  <c r="R28" i="75" s="1"/>
  <c r="T28" i="75" s="1"/>
  <c r="V28" i="75" s="1"/>
  <c r="P29" i="75"/>
  <c r="O38" i="75"/>
  <c r="R38" i="75" s="1"/>
  <c r="T38" i="75" s="1"/>
  <c r="V38" i="75" s="1"/>
  <c r="P39" i="75"/>
  <c r="O53" i="75"/>
  <c r="R53" i="75" s="1"/>
  <c r="T53" i="75" s="1"/>
  <c r="V53" i="75" s="1"/>
  <c r="P54" i="75"/>
  <c r="O63" i="75"/>
  <c r="R63" i="75" s="1"/>
  <c r="T63" i="75" s="1"/>
  <c r="V63" i="75" s="1"/>
  <c r="P64" i="75"/>
  <c r="P58" i="75"/>
  <c r="O5" i="75"/>
  <c r="P6" i="75"/>
  <c r="O13" i="75"/>
  <c r="P14" i="75"/>
  <c r="O23" i="75"/>
  <c r="P24" i="75"/>
  <c r="O33" i="75"/>
  <c r="P34" i="75"/>
  <c r="O43" i="75"/>
  <c r="P44" i="75"/>
  <c r="O48" i="75"/>
  <c r="R48" i="75" s="1"/>
  <c r="T48" i="75" s="1"/>
  <c r="V48" i="75" s="1"/>
  <c r="P49" i="75"/>
  <c r="O58" i="75"/>
  <c r="R58" i="75" s="1"/>
  <c r="T58" i="75" s="1"/>
  <c r="V58" i="75" s="1"/>
  <c r="P59" i="75"/>
  <c r="R19" i="75" l="1"/>
  <c r="T19" i="75" s="1"/>
  <c r="V19" i="75" s="1"/>
  <c r="R59" i="75"/>
  <c r="T59" i="75" s="1"/>
  <c r="V59" i="75" s="1"/>
  <c r="R39" i="75"/>
  <c r="T39" i="75" s="1"/>
  <c r="V39" i="75" s="1"/>
  <c r="R44" i="75"/>
  <c r="T44" i="75" s="1"/>
  <c r="V44" i="75" s="1"/>
  <c r="R43" i="75"/>
  <c r="T43" i="75" s="1"/>
  <c r="V43" i="75" s="1"/>
  <c r="R23" i="75"/>
  <c r="T23" i="75" s="1"/>
  <c r="V23" i="75" s="1"/>
  <c r="R24" i="75"/>
  <c r="T24" i="75" s="1"/>
  <c r="V24" i="75" s="1"/>
  <c r="R5" i="75"/>
  <c r="T5" i="75" s="1"/>
  <c r="V5" i="75" s="1"/>
  <c r="R6" i="75"/>
  <c r="T6" i="75" s="1"/>
  <c r="V6" i="75" s="1"/>
  <c r="R49" i="75"/>
  <c r="T49" i="75" s="1"/>
  <c r="V49" i="75" s="1"/>
  <c r="R29" i="75"/>
  <c r="T29" i="75" s="1"/>
  <c r="V29" i="75" s="1"/>
  <c r="R34" i="75"/>
  <c r="T34" i="75" s="1"/>
  <c r="V34" i="75" s="1"/>
  <c r="R33" i="75"/>
  <c r="T33" i="75" s="1"/>
  <c r="V33" i="75" s="1"/>
  <c r="R14" i="75"/>
  <c r="T14" i="75" s="1"/>
  <c r="V14" i="75" s="1"/>
  <c r="R13" i="75"/>
  <c r="T13" i="75" s="1"/>
  <c r="V13" i="75" s="1"/>
  <c r="R64" i="75"/>
  <c r="T64" i="75" s="1"/>
  <c r="V64" i="75" s="1"/>
  <c r="R10" i="75"/>
  <c r="T10" i="75" s="1"/>
  <c r="V10" i="75" s="1"/>
  <c r="I15" i="74" l="1"/>
  <c r="I14" i="74"/>
  <c r="I13" i="74"/>
  <c r="I12" i="74"/>
  <c r="I11" i="74"/>
  <c r="I10" i="74"/>
  <c r="I9" i="74"/>
  <c r="I8" i="74"/>
  <c r="I7" i="74"/>
  <c r="I6" i="74"/>
  <c r="I5" i="74"/>
  <c r="I15" i="73"/>
  <c r="I14" i="73"/>
  <c r="I13" i="73"/>
  <c r="I12" i="73"/>
  <c r="I11" i="73"/>
  <c r="I10" i="73"/>
  <c r="I9" i="73"/>
  <c r="I8" i="73"/>
  <c r="I7" i="73"/>
  <c r="I6" i="73"/>
  <c r="I5" i="73"/>
  <c r="I6" i="72"/>
  <c r="I7" i="72"/>
  <c r="I8" i="72"/>
  <c r="I9" i="72"/>
  <c r="I10" i="72"/>
  <c r="I11" i="72"/>
  <c r="I12" i="72"/>
  <c r="I13" i="72"/>
  <c r="I14" i="72"/>
  <c r="I15" i="72"/>
  <c r="I5" i="72"/>
  <c r="R27" i="71" l="1"/>
  <c r="U27" i="71" s="1"/>
  <c r="W27" i="71" s="1"/>
  <c r="P27" i="71"/>
  <c r="O27" i="71"/>
  <c r="N27" i="71"/>
  <c r="S27" i="71" s="1"/>
  <c r="P26" i="71"/>
  <c r="R26" i="71" s="1"/>
  <c r="U26" i="71" s="1"/>
  <c r="W26" i="71" s="1"/>
  <c r="O26" i="71"/>
  <c r="N26" i="71"/>
  <c r="S26" i="71" s="1"/>
  <c r="P25" i="71"/>
  <c r="O25" i="71"/>
  <c r="R25" i="71" s="1"/>
  <c r="U25" i="71" s="1"/>
  <c r="W25" i="71" s="1"/>
  <c r="N25" i="71"/>
  <c r="S25" i="71" s="1"/>
  <c r="P24" i="71"/>
  <c r="R24" i="71" s="1"/>
  <c r="U24" i="71" s="1"/>
  <c r="W24" i="71" s="1"/>
  <c r="O24" i="71"/>
  <c r="N24" i="71"/>
  <c r="S24" i="71" s="1"/>
  <c r="R23" i="71"/>
  <c r="U23" i="71" s="1"/>
  <c r="W23" i="71" s="1"/>
  <c r="P23" i="71"/>
  <c r="O23" i="71"/>
  <c r="N23" i="71"/>
  <c r="S23" i="71" s="1"/>
  <c r="P22" i="71"/>
  <c r="R22" i="71" s="1"/>
  <c r="U22" i="71" s="1"/>
  <c r="W22" i="71" s="1"/>
  <c r="O22" i="71"/>
  <c r="N22" i="71"/>
  <c r="S22" i="71" s="1"/>
  <c r="P21" i="71"/>
  <c r="O21" i="71"/>
  <c r="R21" i="71" s="1"/>
  <c r="U21" i="71" s="1"/>
  <c r="W21" i="71" s="1"/>
  <c r="N21" i="71"/>
  <c r="S21" i="71" s="1"/>
  <c r="P20" i="71"/>
  <c r="O20" i="71"/>
  <c r="N20" i="71"/>
  <c r="R20" i="71" s="1"/>
  <c r="U20" i="71" s="1"/>
  <c r="W20" i="71" s="1"/>
  <c r="R19" i="71"/>
  <c r="U19" i="71" s="1"/>
  <c r="W19" i="71" s="1"/>
  <c r="P19" i="71"/>
  <c r="O19" i="71"/>
  <c r="N19" i="71"/>
  <c r="S19" i="71" s="1"/>
  <c r="P15" i="71"/>
  <c r="R15" i="71" s="1"/>
  <c r="U15" i="71" s="1"/>
  <c r="W15" i="71" s="1"/>
  <c r="O15" i="71"/>
  <c r="N15" i="71"/>
  <c r="S15" i="71" s="1"/>
  <c r="P14" i="71"/>
  <c r="O14" i="71"/>
  <c r="R14" i="71" s="1"/>
  <c r="U14" i="71" s="1"/>
  <c r="W14" i="71" s="1"/>
  <c r="N14" i="71"/>
  <c r="S14" i="71" s="1"/>
  <c r="P13" i="71"/>
  <c r="O13" i="71"/>
  <c r="N13" i="71"/>
  <c r="R13" i="71" s="1"/>
  <c r="U13" i="71" s="1"/>
  <c r="W13" i="71" s="1"/>
  <c r="R12" i="71"/>
  <c r="P12" i="71"/>
  <c r="O12" i="71"/>
  <c r="N12" i="71"/>
  <c r="S12" i="71" s="1"/>
  <c r="P11" i="71"/>
  <c r="R11" i="71" s="1"/>
  <c r="O11" i="71"/>
  <c r="N11" i="71"/>
  <c r="S11" i="71" s="1"/>
  <c r="P10" i="71"/>
  <c r="O10" i="71"/>
  <c r="R10" i="71" s="1"/>
  <c r="N10" i="71"/>
  <c r="S10" i="71" s="1"/>
  <c r="P9" i="71"/>
  <c r="O9" i="71"/>
  <c r="N9" i="71"/>
  <c r="R9" i="71" s="1"/>
  <c r="R8" i="71"/>
  <c r="P8" i="71"/>
  <c r="O8" i="71"/>
  <c r="N8" i="71"/>
  <c r="S8" i="71" s="1"/>
  <c r="P7" i="71"/>
  <c r="R7" i="71" s="1"/>
  <c r="U7" i="71" s="1"/>
  <c r="W7" i="71" s="1"/>
  <c r="O7" i="71"/>
  <c r="N7" i="71"/>
  <c r="S7" i="71" s="1"/>
  <c r="P26" i="70"/>
  <c r="O26" i="70"/>
  <c r="N26" i="70"/>
  <c r="R26" i="70" s="1"/>
  <c r="R25" i="70"/>
  <c r="U25" i="70" s="1"/>
  <c r="W25" i="70" s="1"/>
  <c r="P25" i="70"/>
  <c r="O25" i="70"/>
  <c r="N25" i="70"/>
  <c r="S25" i="70" s="1"/>
  <c r="P24" i="70"/>
  <c r="R24" i="70" s="1"/>
  <c r="U24" i="70" s="1"/>
  <c r="W24" i="70" s="1"/>
  <c r="O24" i="70"/>
  <c r="N24" i="70"/>
  <c r="S24" i="70" s="1"/>
  <c r="P23" i="70"/>
  <c r="R23" i="70" s="1"/>
  <c r="O23" i="70"/>
  <c r="N23" i="70"/>
  <c r="S23" i="70" s="1"/>
  <c r="P22" i="70"/>
  <c r="O22" i="70"/>
  <c r="N22" i="70"/>
  <c r="R22" i="70" s="1"/>
  <c r="U22" i="70" s="1"/>
  <c r="W22" i="70" s="1"/>
  <c r="R21" i="70"/>
  <c r="U21" i="70" s="1"/>
  <c r="W21" i="70" s="1"/>
  <c r="P21" i="70"/>
  <c r="O21" i="70"/>
  <c r="N21" i="70"/>
  <c r="S21" i="70" s="1"/>
  <c r="P20" i="70"/>
  <c r="R20" i="70" s="1"/>
  <c r="U20" i="70" s="1"/>
  <c r="W20" i="70" s="1"/>
  <c r="O20" i="70"/>
  <c r="N20" i="70"/>
  <c r="S20" i="70" s="1"/>
  <c r="P19" i="70"/>
  <c r="O19" i="70"/>
  <c r="R19" i="70" s="1"/>
  <c r="U19" i="70" s="1"/>
  <c r="W19" i="70" s="1"/>
  <c r="N19" i="70"/>
  <c r="S19" i="70" s="1"/>
  <c r="P18" i="70"/>
  <c r="R18" i="70" s="1"/>
  <c r="U18" i="70" s="1"/>
  <c r="W18" i="70" s="1"/>
  <c r="O18" i="70"/>
  <c r="N18" i="70"/>
  <c r="S18" i="70" s="1"/>
  <c r="R14" i="70"/>
  <c r="U14" i="70" s="1"/>
  <c r="W14" i="70" s="1"/>
  <c r="P14" i="70"/>
  <c r="O14" i="70"/>
  <c r="N14" i="70"/>
  <c r="S14" i="70" s="1"/>
  <c r="P13" i="70"/>
  <c r="R13" i="70" s="1"/>
  <c r="U13" i="70" s="1"/>
  <c r="W13" i="70" s="1"/>
  <c r="O13" i="70"/>
  <c r="N13" i="70"/>
  <c r="S13" i="70" s="1"/>
  <c r="P12" i="70"/>
  <c r="O12" i="70"/>
  <c r="R12" i="70" s="1"/>
  <c r="U12" i="70" s="1"/>
  <c r="W12" i="70" s="1"/>
  <c r="N12" i="70"/>
  <c r="S12" i="70" s="1"/>
  <c r="P11" i="70"/>
  <c r="R11" i="70" s="1"/>
  <c r="U11" i="70" s="1"/>
  <c r="W11" i="70" s="1"/>
  <c r="O11" i="70"/>
  <c r="N11" i="70"/>
  <c r="S11" i="70" s="1"/>
  <c r="R10" i="70"/>
  <c r="U10" i="70" s="1"/>
  <c r="W10" i="70" s="1"/>
  <c r="P10" i="70"/>
  <c r="O10" i="70"/>
  <c r="N10" i="70"/>
  <c r="S10" i="70" s="1"/>
  <c r="P9" i="70"/>
  <c r="R9" i="70" s="1"/>
  <c r="U9" i="70" s="1"/>
  <c r="W9" i="70" s="1"/>
  <c r="O9" i="70"/>
  <c r="N9" i="70"/>
  <c r="S9" i="70" s="1"/>
  <c r="P8" i="70"/>
  <c r="O8" i="70"/>
  <c r="R8" i="70" s="1"/>
  <c r="U8" i="70" s="1"/>
  <c r="W8" i="70" s="1"/>
  <c r="N8" i="70"/>
  <c r="S8" i="70" s="1"/>
  <c r="P7" i="70"/>
  <c r="O7" i="70"/>
  <c r="N7" i="70"/>
  <c r="R7" i="70" s="1"/>
  <c r="U7" i="70" s="1"/>
  <c r="W7" i="70" s="1"/>
  <c r="R6" i="70"/>
  <c r="U6" i="70" s="1"/>
  <c r="W6" i="70" s="1"/>
  <c r="P6" i="70"/>
  <c r="O6" i="70"/>
  <c r="N6" i="70"/>
  <c r="S6" i="70" s="1"/>
  <c r="U9" i="71" l="1"/>
  <c r="W9" i="71" s="1"/>
  <c r="U10" i="71"/>
  <c r="W10" i="71" s="1"/>
  <c r="U11" i="71"/>
  <c r="W11" i="71" s="1"/>
  <c r="U12" i="71"/>
  <c r="W12" i="71" s="1"/>
  <c r="U8" i="71"/>
  <c r="W8" i="71" s="1"/>
  <c r="S9" i="71"/>
  <c r="S13" i="71"/>
  <c r="S20" i="71"/>
  <c r="U23" i="70"/>
  <c r="W23" i="70" s="1"/>
  <c r="U26" i="70"/>
  <c r="W26" i="70" s="1"/>
  <c r="S7" i="70"/>
  <c r="S22" i="70"/>
  <c r="S26" i="70"/>
  <c r="O58" i="69" l="1"/>
  <c r="L58" i="69"/>
  <c r="K58" i="69"/>
  <c r="J58" i="69"/>
  <c r="N58" i="69" s="1"/>
  <c r="Q58" i="69" s="1"/>
  <c r="S58" i="69" s="1"/>
  <c r="N57" i="69"/>
  <c r="Q57" i="69" s="1"/>
  <c r="S57" i="69" s="1"/>
  <c r="L57" i="69"/>
  <c r="K57" i="69"/>
  <c r="J57" i="69"/>
  <c r="O57" i="69" s="1"/>
  <c r="O56" i="69"/>
  <c r="L56" i="69"/>
  <c r="N56" i="69" s="1"/>
  <c r="Q56" i="69" s="1"/>
  <c r="S56" i="69" s="1"/>
  <c r="K56" i="69"/>
  <c r="J56" i="69"/>
  <c r="L52" i="69"/>
  <c r="K52" i="69"/>
  <c r="N52" i="69" s="1"/>
  <c r="Q52" i="69" s="1"/>
  <c r="S52" i="69" s="1"/>
  <c r="J52" i="69"/>
  <c r="O52" i="69" s="1"/>
  <c r="L51" i="69"/>
  <c r="K51" i="69"/>
  <c r="J51" i="69"/>
  <c r="O51" i="69" s="1"/>
  <c r="N50" i="69"/>
  <c r="Q50" i="69" s="1"/>
  <c r="S50" i="69" s="1"/>
  <c r="L50" i="69"/>
  <c r="K50" i="69"/>
  <c r="J50" i="69"/>
  <c r="O50" i="69" s="1"/>
  <c r="L46" i="69"/>
  <c r="K46" i="69"/>
  <c r="J46" i="69"/>
  <c r="N46" i="69" s="1"/>
  <c r="Q46" i="69" s="1"/>
  <c r="S46" i="69" s="1"/>
  <c r="N45" i="69"/>
  <c r="L45" i="69"/>
  <c r="K45" i="69"/>
  <c r="J45" i="69"/>
  <c r="O45" i="69" s="1"/>
  <c r="L44" i="69"/>
  <c r="N44" i="69" s="1"/>
  <c r="Q44" i="69" s="1"/>
  <c r="S44" i="69" s="1"/>
  <c r="K44" i="69"/>
  <c r="J44" i="69"/>
  <c r="O44" i="69" s="1"/>
  <c r="L41" i="69"/>
  <c r="K41" i="69"/>
  <c r="N41" i="69" s="1"/>
  <c r="Q41" i="69" s="1"/>
  <c r="S41" i="69" s="1"/>
  <c r="J41" i="69"/>
  <c r="O41" i="69" s="1"/>
  <c r="L40" i="69"/>
  <c r="K40" i="69"/>
  <c r="J40" i="69"/>
  <c r="N40" i="69" s="1"/>
  <c r="Q40" i="69" s="1"/>
  <c r="S40" i="69" s="1"/>
  <c r="N39" i="69"/>
  <c r="Q39" i="69" s="1"/>
  <c r="S39" i="69" s="1"/>
  <c r="L39" i="69"/>
  <c r="K39" i="69"/>
  <c r="J39" i="69"/>
  <c r="O39" i="69" s="1"/>
  <c r="L36" i="69"/>
  <c r="K36" i="69"/>
  <c r="J36" i="69"/>
  <c r="O36" i="69" s="1"/>
  <c r="L35" i="69"/>
  <c r="K35" i="69"/>
  <c r="N35" i="69" s="1"/>
  <c r="J35" i="69"/>
  <c r="O35" i="69" s="1"/>
  <c r="L34" i="69"/>
  <c r="N34" i="69" s="1"/>
  <c r="Q34" i="69" s="1"/>
  <c r="S34" i="69" s="1"/>
  <c r="K34" i="69"/>
  <c r="J34" i="69"/>
  <c r="O34" i="69" s="1"/>
  <c r="N29" i="69"/>
  <c r="Q29" i="69" s="1"/>
  <c r="S29" i="69" s="1"/>
  <c r="L29" i="69"/>
  <c r="K29" i="69"/>
  <c r="J29" i="69"/>
  <c r="O29" i="69" s="1"/>
  <c r="L28" i="69"/>
  <c r="K28" i="69"/>
  <c r="J28" i="69"/>
  <c r="O28" i="69" s="1"/>
  <c r="Q27" i="69"/>
  <c r="S27" i="69" s="1"/>
  <c r="N27" i="69"/>
  <c r="L27" i="69"/>
  <c r="K27" i="69"/>
  <c r="J27" i="69"/>
  <c r="O27" i="69" s="1"/>
  <c r="L23" i="69"/>
  <c r="K23" i="69"/>
  <c r="J23" i="69"/>
  <c r="N23" i="69" s="1"/>
  <c r="Q23" i="69" s="1"/>
  <c r="S23" i="69" s="1"/>
  <c r="N22" i="69"/>
  <c r="L22" i="69"/>
  <c r="K22" i="69"/>
  <c r="J22" i="69"/>
  <c r="O22" i="69" s="1"/>
  <c r="L21" i="69"/>
  <c r="N21" i="69" s="1"/>
  <c r="Q21" i="69" s="1"/>
  <c r="S21" i="69" s="1"/>
  <c r="K21" i="69"/>
  <c r="J21" i="69"/>
  <c r="O21" i="69" s="1"/>
  <c r="L17" i="69"/>
  <c r="K17" i="69"/>
  <c r="N17" i="69" s="1"/>
  <c r="Q17" i="69" s="1"/>
  <c r="S17" i="69" s="1"/>
  <c r="J17" i="69"/>
  <c r="O17" i="69" s="1"/>
  <c r="L16" i="69"/>
  <c r="K16" i="69"/>
  <c r="J16" i="69"/>
  <c r="N16" i="69" s="1"/>
  <c r="Q16" i="69" s="1"/>
  <c r="S16" i="69" s="1"/>
  <c r="N15" i="69"/>
  <c r="Q15" i="69" s="1"/>
  <c r="S15" i="69" s="1"/>
  <c r="L15" i="69"/>
  <c r="K15" i="69"/>
  <c r="J15" i="69"/>
  <c r="O15" i="69" s="1"/>
  <c r="L12" i="69"/>
  <c r="K12" i="69"/>
  <c r="J12" i="69"/>
  <c r="O12" i="69" s="1"/>
  <c r="L11" i="69"/>
  <c r="K11" i="69"/>
  <c r="N11" i="69" s="1"/>
  <c r="Q11" i="69" s="1"/>
  <c r="S11" i="69" s="1"/>
  <c r="J11" i="69"/>
  <c r="O11" i="69" s="1"/>
  <c r="L10" i="69"/>
  <c r="N10" i="69" s="1"/>
  <c r="Q10" i="69" s="1"/>
  <c r="S10" i="69" s="1"/>
  <c r="K10" i="69"/>
  <c r="J10" i="69"/>
  <c r="O10" i="69" s="1"/>
  <c r="N7" i="69"/>
  <c r="Q7" i="69" s="1"/>
  <c r="S7" i="69" s="1"/>
  <c r="L7" i="69"/>
  <c r="K7" i="69"/>
  <c r="J7" i="69"/>
  <c r="O7" i="69" s="1"/>
  <c r="L6" i="69"/>
  <c r="K6" i="69"/>
  <c r="J6" i="69"/>
  <c r="O6" i="69" s="1"/>
  <c r="Q5" i="69"/>
  <c r="S5" i="69" s="1"/>
  <c r="N5" i="69"/>
  <c r="L5" i="69"/>
  <c r="K5" i="69"/>
  <c r="J5" i="69"/>
  <c r="O5" i="69" s="1"/>
  <c r="Q22" i="69" l="1"/>
  <c r="S22" i="69" s="1"/>
  <c r="Q35" i="69"/>
  <c r="S35" i="69" s="1"/>
  <c r="Q45" i="69"/>
  <c r="S45" i="69" s="1"/>
  <c r="O23" i="69"/>
  <c r="O40" i="69"/>
  <c r="O46" i="69"/>
  <c r="N6" i="69"/>
  <c r="Q6" i="69" s="1"/>
  <c r="S6" i="69" s="1"/>
  <c r="N12" i="69"/>
  <c r="Q12" i="69" s="1"/>
  <c r="S12" i="69" s="1"/>
  <c r="N28" i="69"/>
  <c r="Q28" i="69" s="1"/>
  <c r="S28" i="69" s="1"/>
  <c r="N36" i="69"/>
  <c r="Q36" i="69" s="1"/>
  <c r="S36" i="69" s="1"/>
  <c r="N51" i="69"/>
  <c r="Q51" i="69" s="1"/>
  <c r="S51" i="69" s="1"/>
  <c r="O16" i="69"/>
  <c r="O157" i="67" l="1"/>
  <c r="N157" i="67"/>
  <c r="M157" i="67"/>
  <c r="L157" i="67"/>
  <c r="K157" i="67"/>
  <c r="J157" i="67"/>
  <c r="I157" i="67"/>
  <c r="H157" i="67"/>
  <c r="G157" i="67"/>
  <c r="F157" i="67"/>
  <c r="E157" i="67"/>
  <c r="D157" i="67"/>
  <c r="O149" i="67"/>
  <c r="O153" i="67" s="1"/>
  <c r="O161" i="67" s="1"/>
  <c r="O168" i="67" s="1"/>
  <c r="N149" i="67"/>
  <c r="N153" i="67" s="1"/>
  <c r="N161" i="67" s="1"/>
  <c r="N168" i="67" s="1"/>
  <c r="M149" i="67"/>
  <c r="M153" i="67" s="1"/>
  <c r="M161" i="67" s="1"/>
  <c r="M168" i="67" s="1"/>
  <c r="M171" i="67" s="1"/>
  <c r="L149" i="67"/>
  <c r="L153" i="67" s="1"/>
  <c r="L161" i="67" s="1"/>
  <c r="L168" i="67" s="1"/>
  <c r="K149" i="67"/>
  <c r="K153" i="67" s="1"/>
  <c r="K161" i="67" s="1"/>
  <c r="K168" i="67" s="1"/>
  <c r="J149" i="67"/>
  <c r="J153" i="67" s="1"/>
  <c r="J161" i="67" s="1"/>
  <c r="J168" i="67" s="1"/>
  <c r="I149" i="67"/>
  <c r="I153" i="67" s="1"/>
  <c r="I161" i="67" s="1"/>
  <c r="I168" i="67" s="1"/>
  <c r="H149" i="67"/>
  <c r="H153" i="67" s="1"/>
  <c r="H161" i="67" s="1"/>
  <c r="H168" i="67" s="1"/>
  <c r="G149" i="67"/>
  <c r="G153" i="67" s="1"/>
  <c r="G161" i="67" s="1"/>
  <c r="G168" i="67" s="1"/>
  <c r="F149" i="67"/>
  <c r="F153" i="67" s="1"/>
  <c r="F161" i="67" s="1"/>
  <c r="F168" i="67" s="1"/>
  <c r="E149" i="67"/>
  <c r="E153" i="67" s="1"/>
  <c r="E161" i="67" s="1"/>
  <c r="E168" i="67" s="1"/>
  <c r="D149" i="67"/>
  <c r="D153" i="67" s="1"/>
  <c r="D161" i="67" s="1"/>
  <c r="D168" i="67" s="1"/>
  <c r="D171" i="67" s="1"/>
  <c r="O126" i="67"/>
  <c r="N126" i="67"/>
  <c r="M126" i="67"/>
  <c r="L126" i="67"/>
  <c r="K126" i="67"/>
  <c r="J126" i="67"/>
  <c r="I126" i="67"/>
  <c r="H126" i="67"/>
  <c r="G126" i="67"/>
  <c r="F126" i="67"/>
  <c r="E126" i="67"/>
  <c r="D126" i="67"/>
  <c r="O118" i="67"/>
  <c r="O122" i="67" s="1"/>
  <c r="O130" i="67" s="1"/>
  <c r="O137" i="67" s="1"/>
  <c r="N118" i="67"/>
  <c r="N122" i="67" s="1"/>
  <c r="N130" i="67" s="1"/>
  <c r="N137" i="67" s="1"/>
  <c r="M118" i="67"/>
  <c r="M122" i="67" s="1"/>
  <c r="M130" i="67" s="1"/>
  <c r="M137" i="67" s="1"/>
  <c r="M139" i="67" s="1"/>
  <c r="L118" i="67"/>
  <c r="L122" i="67" s="1"/>
  <c r="L130" i="67" s="1"/>
  <c r="L137" i="67" s="1"/>
  <c r="K118" i="67"/>
  <c r="K122" i="67" s="1"/>
  <c r="K130" i="67" s="1"/>
  <c r="K137" i="67" s="1"/>
  <c r="J118" i="67"/>
  <c r="J122" i="67" s="1"/>
  <c r="J130" i="67" s="1"/>
  <c r="J137" i="67" s="1"/>
  <c r="I118" i="67"/>
  <c r="I122" i="67" s="1"/>
  <c r="I130" i="67" s="1"/>
  <c r="I137" i="67" s="1"/>
  <c r="H118" i="67"/>
  <c r="H122" i="67" s="1"/>
  <c r="H130" i="67" s="1"/>
  <c r="H137" i="67" s="1"/>
  <c r="G118" i="67"/>
  <c r="G122" i="67" s="1"/>
  <c r="G130" i="67" s="1"/>
  <c r="G137" i="67" s="1"/>
  <c r="F118" i="67"/>
  <c r="F122" i="67" s="1"/>
  <c r="F130" i="67" s="1"/>
  <c r="F137" i="67" s="1"/>
  <c r="E118" i="67"/>
  <c r="E122" i="67" s="1"/>
  <c r="E130" i="67" s="1"/>
  <c r="E137" i="67" s="1"/>
  <c r="D118" i="67"/>
  <c r="D122" i="67" s="1"/>
  <c r="D130" i="67" s="1"/>
  <c r="D137" i="67" s="1"/>
  <c r="D139" i="67" s="1"/>
  <c r="O95" i="67"/>
  <c r="N95" i="67"/>
  <c r="M95" i="67"/>
  <c r="L95" i="67"/>
  <c r="K95" i="67"/>
  <c r="J95" i="67"/>
  <c r="I95" i="67"/>
  <c r="H95" i="67"/>
  <c r="G95" i="67"/>
  <c r="F95" i="67"/>
  <c r="E95" i="67"/>
  <c r="D95" i="67"/>
  <c r="O87" i="67"/>
  <c r="O91" i="67" s="1"/>
  <c r="O99" i="67" s="1"/>
  <c r="O106" i="67" s="1"/>
  <c r="N87" i="67"/>
  <c r="N91" i="67" s="1"/>
  <c r="N99" i="67" s="1"/>
  <c r="N106" i="67" s="1"/>
  <c r="M87" i="67"/>
  <c r="M91" i="67" s="1"/>
  <c r="M99" i="67" s="1"/>
  <c r="M106" i="67" s="1"/>
  <c r="M108" i="67" s="1"/>
  <c r="L87" i="67"/>
  <c r="L91" i="67" s="1"/>
  <c r="L99" i="67" s="1"/>
  <c r="L106" i="67" s="1"/>
  <c r="K87" i="67"/>
  <c r="K91" i="67" s="1"/>
  <c r="K99" i="67" s="1"/>
  <c r="K106" i="67" s="1"/>
  <c r="J87" i="67"/>
  <c r="J91" i="67" s="1"/>
  <c r="J99" i="67" s="1"/>
  <c r="J106" i="67" s="1"/>
  <c r="I87" i="67"/>
  <c r="I91" i="67" s="1"/>
  <c r="I99" i="67" s="1"/>
  <c r="I106" i="67" s="1"/>
  <c r="H87" i="67"/>
  <c r="H91" i="67" s="1"/>
  <c r="H99" i="67" s="1"/>
  <c r="H106" i="67" s="1"/>
  <c r="G87" i="67"/>
  <c r="G91" i="67" s="1"/>
  <c r="G99" i="67" s="1"/>
  <c r="G106" i="67" s="1"/>
  <c r="F87" i="67"/>
  <c r="F91" i="67" s="1"/>
  <c r="F99" i="67" s="1"/>
  <c r="F106" i="67" s="1"/>
  <c r="E87" i="67"/>
  <c r="E91" i="67" s="1"/>
  <c r="E99" i="67" s="1"/>
  <c r="E106" i="67" s="1"/>
  <c r="D87" i="67"/>
  <c r="D91" i="67" s="1"/>
  <c r="D99" i="67" s="1"/>
  <c r="D106" i="67" s="1"/>
  <c r="D108" i="67" s="1"/>
  <c r="O64" i="67"/>
  <c r="N64" i="67"/>
  <c r="M64" i="67"/>
  <c r="L64" i="67"/>
  <c r="K64" i="67"/>
  <c r="J64" i="67"/>
  <c r="I64" i="67"/>
  <c r="H64" i="67"/>
  <c r="G64" i="67"/>
  <c r="F64" i="67"/>
  <c r="E64" i="67"/>
  <c r="D64" i="67"/>
  <c r="O56" i="67"/>
  <c r="O60" i="67" s="1"/>
  <c r="O68" i="67" s="1"/>
  <c r="O75" i="67" s="1"/>
  <c r="N56" i="67"/>
  <c r="N60" i="67" s="1"/>
  <c r="N68" i="67" s="1"/>
  <c r="N75" i="67" s="1"/>
  <c r="M56" i="67"/>
  <c r="M60" i="67" s="1"/>
  <c r="M68" i="67" s="1"/>
  <c r="M75" i="67" s="1"/>
  <c r="L56" i="67"/>
  <c r="L60" i="67" s="1"/>
  <c r="L68" i="67" s="1"/>
  <c r="L75" i="67" s="1"/>
  <c r="K56" i="67"/>
  <c r="K60" i="67" s="1"/>
  <c r="K68" i="67" s="1"/>
  <c r="K75" i="67" s="1"/>
  <c r="J56" i="67"/>
  <c r="J60" i="67" s="1"/>
  <c r="J68" i="67" s="1"/>
  <c r="J75" i="67" s="1"/>
  <c r="I56" i="67"/>
  <c r="I60" i="67" s="1"/>
  <c r="I68" i="67" s="1"/>
  <c r="I75" i="67" s="1"/>
  <c r="H56" i="67"/>
  <c r="H60" i="67" s="1"/>
  <c r="H68" i="67" s="1"/>
  <c r="H75" i="67" s="1"/>
  <c r="G56" i="67"/>
  <c r="G60" i="67" s="1"/>
  <c r="G68" i="67" s="1"/>
  <c r="G75" i="67" s="1"/>
  <c r="F56" i="67"/>
  <c r="F60" i="67" s="1"/>
  <c r="F68" i="67" s="1"/>
  <c r="F75" i="67" s="1"/>
  <c r="E56" i="67"/>
  <c r="E60" i="67" s="1"/>
  <c r="E68" i="67" s="1"/>
  <c r="E75" i="67" s="1"/>
  <c r="D56" i="67"/>
  <c r="D60" i="67" s="1"/>
  <c r="D68" i="67" s="1"/>
  <c r="D75" i="67" s="1"/>
  <c r="D78" i="67" s="1"/>
  <c r="O33" i="67"/>
  <c r="N33" i="67"/>
  <c r="M33" i="67"/>
  <c r="L33" i="67"/>
  <c r="K33" i="67"/>
  <c r="J33" i="67"/>
  <c r="I33" i="67"/>
  <c r="H33" i="67"/>
  <c r="G33" i="67"/>
  <c r="F33" i="67"/>
  <c r="E33" i="67"/>
  <c r="D33" i="67"/>
  <c r="N29" i="67"/>
  <c r="N37" i="67" s="1"/>
  <c r="N44" i="67" s="1"/>
  <c r="O25" i="67"/>
  <c r="O29" i="67" s="1"/>
  <c r="O37" i="67" s="1"/>
  <c r="O44" i="67" s="1"/>
  <c r="N25" i="67"/>
  <c r="M25" i="67"/>
  <c r="M29" i="67" s="1"/>
  <c r="M37" i="67" s="1"/>
  <c r="M44" i="67" s="1"/>
  <c r="L25" i="67"/>
  <c r="L29" i="67" s="1"/>
  <c r="L37" i="67" s="1"/>
  <c r="L44" i="67" s="1"/>
  <c r="K25" i="67"/>
  <c r="K29" i="67" s="1"/>
  <c r="K37" i="67" s="1"/>
  <c r="K44" i="67" s="1"/>
  <c r="J25" i="67"/>
  <c r="J29" i="67" s="1"/>
  <c r="J37" i="67" s="1"/>
  <c r="J44" i="67" s="1"/>
  <c r="I25" i="67"/>
  <c r="I29" i="67" s="1"/>
  <c r="I37" i="67" s="1"/>
  <c r="I44" i="67" s="1"/>
  <c r="H25" i="67"/>
  <c r="H29" i="67" s="1"/>
  <c r="H37" i="67" s="1"/>
  <c r="H44" i="67" s="1"/>
  <c r="G25" i="67"/>
  <c r="G29" i="67" s="1"/>
  <c r="G37" i="67" s="1"/>
  <c r="G44" i="67" s="1"/>
  <c r="F25" i="67"/>
  <c r="F29" i="67" s="1"/>
  <c r="F37" i="67" s="1"/>
  <c r="F44" i="67" s="1"/>
  <c r="E25" i="67"/>
  <c r="E29" i="67" s="1"/>
  <c r="E37" i="67" s="1"/>
  <c r="E44" i="67" s="1"/>
  <c r="D25" i="67"/>
  <c r="D29" i="67" s="1"/>
  <c r="D37" i="67" s="1"/>
  <c r="D44" i="67" s="1"/>
  <c r="D46" i="67" s="1"/>
  <c r="F14" i="67"/>
  <c r="F13" i="67"/>
  <c r="F12" i="67"/>
  <c r="F11" i="67"/>
  <c r="F10" i="67"/>
  <c r="F9" i="67"/>
  <c r="F8" i="67"/>
  <c r="F7" i="67"/>
  <c r="O157" i="66"/>
  <c r="N157" i="66"/>
  <c r="M157" i="66"/>
  <c r="L157" i="66"/>
  <c r="K157" i="66"/>
  <c r="J157" i="66"/>
  <c r="I157" i="66"/>
  <c r="H157" i="66"/>
  <c r="G157" i="66"/>
  <c r="F157" i="66"/>
  <c r="E157" i="66"/>
  <c r="D157" i="66"/>
  <c r="O149" i="66"/>
  <c r="O153" i="66" s="1"/>
  <c r="O161" i="66" s="1"/>
  <c r="O168" i="66" s="1"/>
  <c r="N149" i="66"/>
  <c r="N153" i="66" s="1"/>
  <c r="N161" i="66" s="1"/>
  <c r="N168" i="66" s="1"/>
  <c r="M149" i="66"/>
  <c r="M153" i="66" s="1"/>
  <c r="M161" i="66" s="1"/>
  <c r="M168" i="66" s="1"/>
  <c r="M171" i="66" s="1"/>
  <c r="L149" i="66"/>
  <c r="L153" i="66" s="1"/>
  <c r="L161" i="66" s="1"/>
  <c r="L168" i="66" s="1"/>
  <c r="K149" i="66"/>
  <c r="K153" i="66" s="1"/>
  <c r="K161" i="66" s="1"/>
  <c r="K168" i="66" s="1"/>
  <c r="J149" i="66"/>
  <c r="J153" i="66" s="1"/>
  <c r="J161" i="66" s="1"/>
  <c r="J168" i="66" s="1"/>
  <c r="I149" i="66"/>
  <c r="I153" i="66" s="1"/>
  <c r="I161" i="66" s="1"/>
  <c r="I168" i="66" s="1"/>
  <c r="H149" i="66"/>
  <c r="H153" i="66" s="1"/>
  <c r="H161" i="66" s="1"/>
  <c r="H168" i="66" s="1"/>
  <c r="G149" i="66"/>
  <c r="G153" i="66" s="1"/>
  <c r="G161" i="66" s="1"/>
  <c r="G168" i="66" s="1"/>
  <c r="F149" i="66"/>
  <c r="F153" i="66" s="1"/>
  <c r="F161" i="66" s="1"/>
  <c r="F168" i="66" s="1"/>
  <c r="E149" i="66"/>
  <c r="E153" i="66" s="1"/>
  <c r="E161" i="66" s="1"/>
  <c r="E168" i="66" s="1"/>
  <c r="D149" i="66"/>
  <c r="D153" i="66" s="1"/>
  <c r="D161" i="66" s="1"/>
  <c r="D168" i="66" s="1"/>
  <c r="D171" i="66" s="1"/>
  <c r="O126" i="66"/>
  <c r="N126" i="66"/>
  <c r="M126" i="66"/>
  <c r="L126" i="66"/>
  <c r="K126" i="66"/>
  <c r="J126" i="66"/>
  <c r="I126" i="66"/>
  <c r="H126" i="66"/>
  <c r="G126" i="66"/>
  <c r="F126" i="66"/>
  <c r="E126" i="66"/>
  <c r="D126" i="66"/>
  <c r="O118" i="66"/>
  <c r="O122" i="66" s="1"/>
  <c r="O130" i="66" s="1"/>
  <c r="O137" i="66" s="1"/>
  <c r="N118" i="66"/>
  <c r="N122" i="66" s="1"/>
  <c r="N130" i="66" s="1"/>
  <c r="N137" i="66" s="1"/>
  <c r="M118" i="66"/>
  <c r="M122" i="66" s="1"/>
  <c r="M130" i="66" s="1"/>
  <c r="M137" i="66" s="1"/>
  <c r="M139" i="66" s="1"/>
  <c r="L118" i="66"/>
  <c r="L122" i="66" s="1"/>
  <c r="L130" i="66" s="1"/>
  <c r="L137" i="66" s="1"/>
  <c r="K118" i="66"/>
  <c r="K122" i="66" s="1"/>
  <c r="K130" i="66" s="1"/>
  <c r="K137" i="66" s="1"/>
  <c r="J118" i="66"/>
  <c r="J122" i="66" s="1"/>
  <c r="J130" i="66" s="1"/>
  <c r="J137" i="66" s="1"/>
  <c r="I118" i="66"/>
  <c r="I122" i="66" s="1"/>
  <c r="I130" i="66" s="1"/>
  <c r="I137" i="66" s="1"/>
  <c r="H118" i="66"/>
  <c r="H122" i="66" s="1"/>
  <c r="H130" i="66" s="1"/>
  <c r="H137" i="66" s="1"/>
  <c r="G118" i="66"/>
  <c r="G122" i="66" s="1"/>
  <c r="G130" i="66" s="1"/>
  <c r="G137" i="66" s="1"/>
  <c r="F118" i="66"/>
  <c r="F122" i="66" s="1"/>
  <c r="F130" i="66" s="1"/>
  <c r="F137" i="66" s="1"/>
  <c r="E118" i="66"/>
  <c r="E122" i="66" s="1"/>
  <c r="E130" i="66" s="1"/>
  <c r="E137" i="66" s="1"/>
  <c r="D118" i="66"/>
  <c r="D122" i="66" s="1"/>
  <c r="D130" i="66" s="1"/>
  <c r="D137" i="66" s="1"/>
  <c r="D139" i="66" s="1"/>
  <c r="O95" i="66"/>
  <c r="N95" i="66"/>
  <c r="M95" i="66"/>
  <c r="L95" i="66"/>
  <c r="K95" i="66"/>
  <c r="J95" i="66"/>
  <c r="I95" i="66"/>
  <c r="H95" i="66"/>
  <c r="G95" i="66"/>
  <c r="F95" i="66"/>
  <c r="E95" i="66"/>
  <c r="D95" i="66"/>
  <c r="O87" i="66"/>
  <c r="O91" i="66" s="1"/>
  <c r="O99" i="66" s="1"/>
  <c r="O106" i="66" s="1"/>
  <c r="N87" i="66"/>
  <c r="N91" i="66" s="1"/>
  <c r="N99" i="66" s="1"/>
  <c r="N106" i="66" s="1"/>
  <c r="M87" i="66"/>
  <c r="M91" i="66" s="1"/>
  <c r="M99" i="66" s="1"/>
  <c r="M106" i="66" s="1"/>
  <c r="M108" i="66" s="1"/>
  <c r="L87" i="66"/>
  <c r="L91" i="66" s="1"/>
  <c r="L99" i="66" s="1"/>
  <c r="L106" i="66" s="1"/>
  <c r="K87" i="66"/>
  <c r="K91" i="66" s="1"/>
  <c r="K99" i="66" s="1"/>
  <c r="K106" i="66" s="1"/>
  <c r="J87" i="66"/>
  <c r="J91" i="66" s="1"/>
  <c r="J99" i="66" s="1"/>
  <c r="J106" i="66" s="1"/>
  <c r="I87" i="66"/>
  <c r="I91" i="66" s="1"/>
  <c r="I99" i="66" s="1"/>
  <c r="I106" i="66" s="1"/>
  <c r="H87" i="66"/>
  <c r="H91" i="66" s="1"/>
  <c r="H99" i="66" s="1"/>
  <c r="H106" i="66" s="1"/>
  <c r="G87" i="66"/>
  <c r="G91" i="66" s="1"/>
  <c r="G99" i="66" s="1"/>
  <c r="G106" i="66" s="1"/>
  <c r="F87" i="66"/>
  <c r="F91" i="66" s="1"/>
  <c r="F99" i="66" s="1"/>
  <c r="F106" i="66" s="1"/>
  <c r="E87" i="66"/>
  <c r="E91" i="66" s="1"/>
  <c r="E99" i="66" s="1"/>
  <c r="E106" i="66" s="1"/>
  <c r="D87" i="66"/>
  <c r="D91" i="66" s="1"/>
  <c r="D99" i="66" s="1"/>
  <c r="D106" i="66" s="1"/>
  <c r="D108" i="66" s="1"/>
  <c r="O64" i="66"/>
  <c r="N64" i="66"/>
  <c r="M64" i="66"/>
  <c r="L64" i="66"/>
  <c r="K64" i="66"/>
  <c r="J64" i="66"/>
  <c r="I64" i="66"/>
  <c r="H64" i="66"/>
  <c r="G64" i="66"/>
  <c r="F64" i="66"/>
  <c r="E64" i="66"/>
  <c r="D64" i="66"/>
  <c r="O56" i="66"/>
  <c r="O60" i="66" s="1"/>
  <c r="O68" i="66" s="1"/>
  <c r="O75" i="66" s="1"/>
  <c r="N56" i="66"/>
  <c r="N60" i="66" s="1"/>
  <c r="N68" i="66" s="1"/>
  <c r="N75" i="66" s="1"/>
  <c r="M56" i="66"/>
  <c r="M60" i="66" s="1"/>
  <c r="M68" i="66" s="1"/>
  <c r="M75" i="66" s="1"/>
  <c r="L56" i="66"/>
  <c r="L60" i="66" s="1"/>
  <c r="L68" i="66" s="1"/>
  <c r="L75" i="66" s="1"/>
  <c r="K56" i="66"/>
  <c r="K60" i="66" s="1"/>
  <c r="K68" i="66" s="1"/>
  <c r="K75" i="66" s="1"/>
  <c r="J56" i="66"/>
  <c r="J60" i="66" s="1"/>
  <c r="J68" i="66" s="1"/>
  <c r="J75" i="66" s="1"/>
  <c r="I56" i="66"/>
  <c r="I60" i="66" s="1"/>
  <c r="I68" i="66" s="1"/>
  <c r="I75" i="66" s="1"/>
  <c r="H56" i="66"/>
  <c r="H60" i="66" s="1"/>
  <c r="H68" i="66" s="1"/>
  <c r="H75" i="66" s="1"/>
  <c r="G56" i="66"/>
  <c r="G60" i="66" s="1"/>
  <c r="G68" i="66" s="1"/>
  <c r="G75" i="66" s="1"/>
  <c r="F56" i="66"/>
  <c r="F60" i="66" s="1"/>
  <c r="F68" i="66" s="1"/>
  <c r="F75" i="66" s="1"/>
  <c r="E56" i="66"/>
  <c r="E60" i="66" s="1"/>
  <c r="E68" i="66" s="1"/>
  <c r="E75" i="66" s="1"/>
  <c r="D56" i="66"/>
  <c r="D60" i="66" s="1"/>
  <c r="D68" i="66" s="1"/>
  <c r="D75" i="66" s="1"/>
  <c r="D78" i="66" s="1"/>
  <c r="O33" i="66"/>
  <c r="N33" i="66"/>
  <c r="M33" i="66"/>
  <c r="L33" i="66"/>
  <c r="K33" i="66"/>
  <c r="J33" i="66"/>
  <c r="I33" i="66"/>
  <c r="H33" i="66"/>
  <c r="G33" i="66"/>
  <c r="F33" i="66"/>
  <c r="E33" i="66"/>
  <c r="D33" i="66"/>
  <c r="N29" i="66"/>
  <c r="N37" i="66" s="1"/>
  <c r="N44" i="66" s="1"/>
  <c r="O25" i="66"/>
  <c r="O29" i="66" s="1"/>
  <c r="O37" i="66" s="1"/>
  <c r="O44" i="66" s="1"/>
  <c r="N25" i="66"/>
  <c r="M25" i="66"/>
  <c r="M29" i="66" s="1"/>
  <c r="M37" i="66" s="1"/>
  <c r="M44" i="66" s="1"/>
  <c r="L25" i="66"/>
  <c r="L29" i="66" s="1"/>
  <c r="L37" i="66" s="1"/>
  <c r="L44" i="66" s="1"/>
  <c r="K25" i="66"/>
  <c r="K29" i="66" s="1"/>
  <c r="K37" i="66" s="1"/>
  <c r="K44" i="66" s="1"/>
  <c r="J25" i="66"/>
  <c r="J29" i="66" s="1"/>
  <c r="J37" i="66" s="1"/>
  <c r="J44" i="66" s="1"/>
  <c r="I25" i="66"/>
  <c r="I29" i="66" s="1"/>
  <c r="I37" i="66" s="1"/>
  <c r="I44" i="66" s="1"/>
  <c r="H25" i="66"/>
  <c r="H29" i="66" s="1"/>
  <c r="H37" i="66" s="1"/>
  <c r="H44" i="66" s="1"/>
  <c r="G25" i="66"/>
  <c r="G29" i="66" s="1"/>
  <c r="G37" i="66" s="1"/>
  <c r="G44" i="66" s="1"/>
  <c r="F25" i="66"/>
  <c r="F29" i="66" s="1"/>
  <c r="F37" i="66" s="1"/>
  <c r="F44" i="66" s="1"/>
  <c r="E25" i="66"/>
  <c r="E29" i="66" s="1"/>
  <c r="E37" i="66" s="1"/>
  <c r="E44" i="66" s="1"/>
  <c r="D25" i="66"/>
  <c r="D29" i="66" s="1"/>
  <c r="D37" i="66" s="1"/>
  <c r="D44" i="66" s="1"/>
  <c r="F14" i="66"/>
  <c r="F13" i="66"/>
  <c r="F12" i="66"/>
  <c r="F11" i="66"/>
  <c r="F10" i="66"/>
  <c r="F9" i="66"/>
  <c r="F8" i="66"/>
  <c r="F7" i="66"/>
  <c r="G171" i="60"/>
  <c r="J171" i="60"/>
  <c r="M171" i="60"/>
  <c r="D171" i="60"/>
  <c r="G139" i="60"/>
  <c r="J139" i="60"/>
  <c r="M139" i="60"/>
  <c r="D139" i="60"/>
  <c r="G108" i="60"/>
  <c r="J108" i="60"/>
  <c r="M108" i="60"/>
  <c r="D108" i="60"/>
  <c r="G78" i="60"/>
  <c r="J78" i="60"/>
  <c r="M78" i="60"/>
  <c r="D78" i="60"/>
  <c r="G46" i="60"/>
  <c r="J46" i="60"/>
  <c r="M46" i="60"/>
  <c r="D46" i="60"/>
  <c r="D46" i="66" l="1"/>
  <c r="J78" i="67"/>
  <c r="G78" i="67"/>
  <c r="M78" i="67"/>
  <c r="J46" i="67"/>
  <c r="G46" i="67"/>
  <c r="M46" i="67"/>
  <c r="G108" i="67"/>
  <c r="G139" i="67"/>
  <c r="G171" i="67"/>
  <c r="J108" i="67"/>
  <c r="J139" i="67"/>
  <c r="J171" i="67"/>
  <c r="J78" i="66"/>
  <c r="M78" i="66"/>
  <c r="G78" i="66"/>
  <c r="J46" i="66"/>
  <c r="G46" i="66"/>
  <c r="M46" i="66"/>
  <c r="G108" i="66"/>
  <c r="G139" i="66"/>
  <c r="G171" i="66"/>
  <c r="J108" i="66"/>
  <c r="J139" i="66"/>
  <c r="J171" i="66"/>
  <c r="O157" i="60"/>
  <c r="N157" i="60"/>
  <c r="M157" i="60"/>
  <c r="L157" i="60"/>
  <c r="K157" i="60"/>
  <c r="J157" i="60"/>
  <c r="I157" i="60"/>
  <c r="H157" i="60"/>
  <c r="G157" i="60"/>
  <c r="F157" i="60"/>
  <c r="E157" i="60"/>
  <c r="D157" i="60"/>
  <c r="O149" i="60"/>
  <c r="O153" i="60" s="1"/>
  <c r="O161" i="60" s="1"/>
  <c r="O168" i="60" s="1"/>
  <c r="N149" i="60"/>
  <c r="N153" i="60" s="1"/>
  <c r="N161" i="60" s="1"/>
  <c r="N168" i="60" s="1"/>
  <c r="M149" i="60"/>
  <c r="M153" i="60" s="1"/>
  <c r="M161" i="60" s="1"/>
  <c r="M168" i="60" s="1"/>
  <c r="L149" i="60"/>
  <c r="L153" i="60" s="1"/>
  <c r="L161" i="60" s="1"/>
  <c r="L168" i="60" s="1"/>
  <c r="K149" i="60"/>
  <c r="K153" i="60" s="1"/>
  <c r="K161" i="60" s="1"/>
  <c r="K168" i="60" s="1"/>
  <c r="J149" i="60"/>
  <c r="J153" i="60" s="1"/>
  <c r="J161" i="60" s="1"/>
  <c r="J168" i="60" s="1"/>
  <c r="I149" i="60"/>
  <c r="I153" i="60" s="1"/>
  <c r="I161" i="60" s="1"/>
  <c r="I168" i="60" s="1"/>
  <c r="H149" i="60"/>
  <c r="H153" i="60" s="1"/>
  <c r="H161" i="60" s="1"/>
  <c r="H168" i="60" s="1"/>
  <c r="G149" i="60"/>
  <c r="G153" i="60" s="1"/>
  <c r="G161" i="60" s="1"/>
  <c r="G168" i="60" s="1"/>
  <c r="F149" i="60"/>
  <c r="F153" i="60" s="1"/>
  <c r="F161" i="60" s="1"/>
  <c r="F168" i="60" s="1"/>
  <c r="E149" i="60"/>
  <c r="E153" i="60" s="1"/>
  <c r="E161" i="60" s="1"/>
  <c r="E168" i="60" s="1"/>
  <c r="D149" i="60"/>
  <c r="D153" i="60" s="1"/>
  <c r="D161" i="60" s="1"/>
  <c r="D168" i="60" s="1"/>
  <c r="O126" i="60"/>
  <c r="N126" i="60"/>
  <c r="M126" i="60"/>
  <c r="L126" i="60"/>
  <c r="K126" i="60"/>
  <c r="J126" i="60"/>
  <c r="I126" i="60"/>
  <c r="H126" i="60"/>
  <c r="G126" i="60"/>
  <c r="F126" i="60"/>
  <c r="E126" i="60"/>
  <c r="D126" i="60"/>
  <c r="O118" i="60"/>
  <c r="O122" i="60" s="1"/>
  <c r="O130" i="60" s="1"/>
  <c r="O137" i="60" s="1"/>
  <c r="N118" i="60"/>
  <c r="N122" i="60" s="1"/>
  <c r="N130" i="60" s="1"/>
  <c r="N137" i="60" s="1"/>
  <c r="M118" i="60"/>
  <c r="M122" i="60" s="1"/>
  <c r="M130" i="60" s="1"/>
  <c r="M137" i="60" s="1"/>
  <c r="L118" i="60"/>
  <c r="L122" i="60" s="1"/>
  <c r="L130" i="60" s="1"/>
  <c r="L137" i="60" s="1"/>
  <c r="K118" i="60"/>
  <c r="K122" i="60" s="1"/>
  <c r="K130" i="60" s="1"/>
  <c r="K137" i="60" s="1"/>
  <c r="J118" i="60"/>
  <c r="J122" i="60" s="1"/>
  <c r="J130" i="60" s="1"/>
  <c r="J137" i="60" s="1"/>
  <c r="I118" i="60"/>
  <c r="I122" i="60" s="1"/>
  <c r="I130" i="60" s="1"/>
  <c r="I137" i="60" s="1"/>
  <c r="H118" i="60"/>
  <c r="H122" i="60" s="1"/>
  <c r="H130" i="60" s="1"/>
  <c r="H137" i="60" s="1"/>
  <c r="G118" i="60"/>
  <c r="G122" i="60" s="1"/>
  <c r="G130" i="60" s="1"/>
  <c r="G137" i="60" s="1"/>
  <c r="F118" i="60"/>
  <c r="F122" i="60" s="1"/>
  <c r="F130" i="60" s="1"/>
  <c r="F137" i="60" s="1"/>
  <c r="E118" i="60"/>
  <c r="E122" i="60" s="1"/>
  <c r="E130" i="60" s="1"/>
  <c r="E137" i="60" s="1"/>
  <c r="D118" i="60"/>
  <c r="D122" i="60" s="1"/>
  <c r="D130" i="60" s="1"/>
  <c r="D137" i="60" s="1"/>
  <c r="O95" i="60"/>
  <c r="N95" i="60"/>
  <c r="M95" i="60"/>
  <c r="L95" i="60"/>
  <c r="K95" i="60"/>
  <c r="J95" i="60"/>
  <c r="I95" i="60"/>
  <c r="H95" i="60"/>
  <c r="G95" i="60"/>
  <c r="F95" i="60"/>
  <c r="E95" i="60"/>
  <c r="D95" i="60"/>
  <c r="O87" i="60"/>
  <c r="O91" i="60" s="1"/>
  <c r="O99" i="60" s="1"/>
  <c r="O106" i="60" s="1"/>
  <c r="N87" i="60"/>
  <c r="N91" i="60" s="1"/>
  <c r="N99" i="60" s="1"/>
  <c r="N106" i="60" s="1"/>
  <c r="M87" i="60"/>
  <c r="M91" i="60" s="1"/>
  <c r="M99" i="60" s="1"/>
  <c r="M106" i="60" s="1"/>
  <c r="L87" i="60"/>
  <c r="L91" i="60" s="1"/>
  <c r="L99" i="60" s="1"/>
  <c r="L106" i="60" s="1"/>
  <c r="K87" i="60"/>
  <c r="K91" i="60" s="1"/>
  <c r="K99" i="60" s="1"/>
  <c r="K106" i="60" s="1"/>
  <c r="J87" i="60"/>
  <c r="J91" i="60" s="1"/>
  <c r="J99" i="60" s="1"/>
  <c r="J106" i="60" s="1"/>
  <c r="I87" i="60"/>
  <c r="I91" i="60" s="1"/>
  <c r="I99" i="60" s="1"/>
  <c r="I106" i="60" s="1"/>
  <c r="H87" i="60"/>
  <c r="H91" i="60" s="1"/>
  <c r="H99" i="60" s="1"/>
  <c r="H106" i="60" s="1"/>
  <c r="G87" i="60"/>
  <c r="G91" i="60" s="1"/>
  <c r="G99" i="60" s="1"/>
  <c r="G106" i="60" s="1"/>
  <c r="F87" i="60"/>
  <c r="F91" i="60" s="1"/>
  <c r="F99" i="60" s="1"/>
  <c r="F106" i="60" s="1"/>
  <c r="E87" i="60"/>
  <c r="E91" i="60" s="1"/>
  <c r="E99" i="60" s="1"/>
  <c r="E106" i="60" s="1"/>
  <c r="D87" i="60"/>
  <c r="D91" i="60" s="1"/>
  <c r="D99" i="60" s="1"/>
  <c r="D106" i="60" s="1"/>
  <c r="O64" i="60"/>
  <c r="N64" i="60"/>
  <c r="M64" i="60"/>
  <c r="L64" i="60"/>
  <c r="K64" i="60"/>
  <c r="J64" i="60"/>
  <c r="I64" i="60"/>
  <c r="H64" i="60"/>
  <c r="G64" i="60"/>
  <c r="F64" i="60"/>
  <c r="E64" i="60"/>
  <c r="D64" i="60"/>
  <c r="O56" i="60"/>
  <c r="O60" i="60" s="1"/>
  <c r="O68" i="60" s="1"/>
  <c r="O75" i="60" s="1"/>
  <c r="N56" i="60"/>
  <c r="N60" i="60" s="1"/>
  <c r="N68" i="60" s="1"/>
  <c r="N75" i="60" s="1"/>
  <c r="M56" i="60"/>
  <c r="M60" i="60" s="1"/>
  <c r="M68" i="60" s="1"/>
  <c r="M75" i="60" s="1"/>
  <c r="L56" i="60"/>
  <c r="L60" i="60" s="1"/>
  <c r="L68" i="60" s="1"/>
  <c r="L75" i="60" s="1"/>
  <c r="K56" i="60"/>
  <c r="K60" i="60" s="1"/>
  <c r="K68" i="60" s="1"/>
  <c r="K75" i="60" s="1"/>
  <c r="J56" i="60"/>
  <c r="J60" i="60" s="1"/>
  <c r="J68" i="60" s="1"/>
  <c r="J75" i="60" s="1"/>
  <c r="I56" i="60"/>
  <c r="I60" i="60" s="1"/>
  <c r="I68" i="60" s="1"/>
  <c r="I75" i="60" s="1"/>
  <c r="H56" i="60"/>
  <c r="H60" i="60" s="1"/>
  <c r="H68" i="60" s="1"/>
  <c r="H75" i="60" s="1"/>
  <c r="G56" i="60"/>
  <c r="G60" i="60" s="1"/>
  <c r="G68" i="60" s="1"/>
  <c r="G75" i="60" s="1"/>
  <c r="F56" i="60"/>
  <c r="F60" i="60" s="1"/>
  <c r="F68" i="60" s="1"/>
  <c r="F75" i="60" s="1"/>
  <c r="E56" i="60"/>
  <c r="E60" i="60" s="1"/>
  <c r="E68" i="60" s="1"/>
  <c r="E75" i="60" s="1"/>
  <c r="D56" i="60"/>
  <c r="D60" i="60" s="1"/>
  <c r="D68" i="60" s="1"/>
  <c r="D75" i="60" s="1"/>
  <c r="O33" i="60"/>
  <c r="N33" i="60"/>
  <c r="M33" i="60"/>
  <c r="L33" i="60"/>
  <c r="K33" i="60"/>
  <c r="J33" i="60"/>
  <c r="I33" i="60"/>
  <c r="H33" i="60"/>
  <c r="G33" i="60"/>
  <c r="F33" i="60"/>
  <c r="E33" i="60"/>
  <c r="D33" i="60"/>
  <c r="O25" i="60"/>
  <c r="O29" i="60" s="1"/>
  <c r="N25" i="60"/>
  <c r="N29" i="60" s="1"/>
  <c r="N37" i="60" s="1"/>
  <c r="N44" i="60" s="1"/>
  <c r="M25" i="60"/>
  <c r="M29" i="60" s="1"/>
  <c r="M37" i="60" s="1"/>
  <c r="M44" i="60" s="1"/>
  <c r="L25" i="60"/>
  <c r="L29" i="60" s="1"/>
  <c r="L37" i="60" s="1"/>
  <c r="L44" i="60" s="1"/>
  <c r="K25" i="60"/>
  <c r="K29" i="60" s="1"/>
  <c r="J25" i="60"/>
  <c r="J29" i="60" s="1"/>
  <c r="J37" i="60" s="1"/>
  <c r="J44" i="60" s="1"/>
  <c r="I25" i="60"/>
  <c r="I29" i="60" s="1"/>
  <c r="I37" i="60" s="1"/>
  <c r="I44" i="60" s="1"/>
  <c r="H25" i="60"/>
  <c r="H29" i="60" s="1"/>
  <c r="H37" i="60" s="1"/>
  <c r="H44" i="60" s="1"/>
  <c r="G25" i="60"/>
  <c r="G29" i="60" s="1"/>
  <c r="F25" i="60"/>
  <c r="F29" i="60" s="1"/>
  <c r="F37" i="60" s="1"/>
  <c r="F44" i="60" s="1"/>
  <c r="E25" i="60"/>
  <c r="E29" i="60" s="1"/>
  <c r="E37" i="60" s="1"/>
  <c r="E44" i="60" s="1"/>
  <c r="D25" i="60"/>
  <c r="D29" i="60" s="1"/>
  <c r="D37" i="60" s="1"/>
  <c r="D44" i="60" s="1"/>
  <c r="F14" i="60"/>
  <c r="F13" i="60"/>
  <c r="F12" i="60"/>
  <c r="F11" i="60"/>
  <c r="F10" i="60"/>
  <c r="F9" i="60"/>
  <c r="F8" i="60"/>
  <c r="F7" i="60"/>
  <c r="AD34" i="59"/>
  <c r="AC34" i="59"/>
  <c r="AB34" i="59"/>
  <c r="AA34" i="59"/>
  <c r="Z34" i="59"/>
  <c r="Y34" i="59"/>
  <c r="X34" i="59"/>
  <c r="W34" i="59"/>
  <c r="V34" i="59"/>
  <c r="U34" i="59"/>
  <c r="T34" i="59"/>
  <c r="S34" i="59"/>
  <c r="R34" i="59"/>
  <c r="Q34" i="59"/>
  <c r="P34" i="59"/>
  <c r="O34" i="59"/>
  <c r="N34" i="59"/>
  <c r="M34" i="59"/>
  <c r="L34" i="59"/>
  <c r="K34" i="59"/>
  <c r="J34" i="59"/>
  <c r="I34" i="59"/>
  <c r="H34" i="59"/>
  <c r="G34" i="59"/>
  <c r="F34" i="59"/>
  <c r="E34" i="59"/>
  <c r="D34" i="59"/>
  <c r="AD33" i="59"/>
  <c r="AC33" i="59"/>
  <c r="AB33" i="59"/>
  <c r="AA33" i="59"/>
  <c r="Z33" i="59"/>
  <c r="Y33" i="59"/>
  <c r="X33" i="59"/>
  <c r="W33" i="59"/>
  <c r="V33" i="59"/>
  <c r="U33" i="59"/>
  <c r="T33" i="59"/>
  <c r="S33" i="59"/>
  <c r="R33" i="59"/>
  <c r="Q33" i="59"/>
  <c r="P33" i="59"/>
  <c r="O33" i="59"/>
  <c r="N33" i="59"/>
  <c r="M33" i="59"/>
  <c r="L33" i="59"/>
  <c r="K33" i="59"/>
  <c r="J33" i="59"/>
  <c r="I33" i="59"/>
  <c r="H33" i="59"/>
  <c r="G33" i="59"/>
  <c r="F33" i="59"/>
  <c r="E33" i="59"/>
  <c r="D33" i="59"/>
  <c r="AD26" i="59"/>
  <c r="AD30" i="59" s="1"/>
  <c r="AC26" i="59"/>
  <c r="AC30" i="59" s="1"/>
  <c r="AC38" i="59" s="1"/>
  <c r="AC45" i="59" s="1"/>
  <c r="AB26" i="59"/>
  <c r="AB30" i="59" s="1"/>
  <c r="AA26" i="59"/>
  <c r="AA30" i="59" s="1"/>
  <c r="Z26" i="59"/>
  <c r="Z30" i="59" s="1"/>
  <c r="Z38" i="59" s="1"/>
  <c r="Z45" i="59" s="1"/>
  <c r="Y26" i="59"/>
  <c r="Y30" i="59" s="1"/>
  <c r="Y38" i="59" s="1"/>
  <c r="Y45" i="59" s="1"/>
  <c r="X26" i="59"/>
  <c r="X30" i="59" s="1"/>
  <c r="W26" i="59"/>
  <c r="W30" i="59" s="1"/>
  <c r="V26" i="59"/>
  <c r="V30" i="59" s="1"/>
  <c r="V38" i="59" s="1"/>
  <c r="V45" i="59" s="1"/>
  <c r="U26" i="59"/>
  <c r="U30" i="59" s="1"/>
  <c r="U38" i="59" s="1"/>
  <c r="U45" i="59" s="1"/>
  <c r="T26" i="59"/>
  <c r="T30" i="59" s="1"/>
  <c r="S26" i="59"/>
  <c r="S30" i="59" s="1"/>
  <c r="R26" i="59"/>
  <c r="R30" i="59" s="1"/>
  <c r="R38" i="59" s="1"/>
  <c r="R45" i="59" s="1"/>
  <c r="Q26" i="59"/>
  <c r="Q30" i="59" s="1"/>
  <c r="Q38" i="59" s="1"/>
  <c r="Q45" i="59" s="1"/>
  <c r="P26" i="59"/>
  <c r="P30" i="59" s="1"/>
  <c r="O26" i="59"/>
  <c r="O30" i="59" s="1"/>
  <c r="N26" i="59"/>
  <c r="N30" i="59" s="1"/>
  <c r="N38" i="59" s="1"/>
  <c r="N45" i="59" s="1"/>
  <c r="M26" i="59"/>
  <c r="M30" i="59" s="1"/>
  <c r="M38" i="59" s="1"/>
  <c r="M45" i="59" s="1"/>
  <c r="L26" i="59"/>
  <c r="L30" i="59" s="1"/>
  <c r="K26" i="59"/>
  <c r="K30" i="59" s="1"/>
  <c r="J26" i="59"/>
  <c r="J30" i="59" s="1"/>
  <c r="J38" i="59" s="1"/>
  <c r="J45" i="59" s="1"/>
  <c r="I26" i="59"/>
  <c r="I30" i="59" s="1"/>
  <c r="I38" i="59" s="1"/>
  <c r="I45" i="59" s="1"/>
  <c r="H26" i="59"/>
  <c r="H30" i="59" s="1"/>
  <c r="G26" i="59"/>
  <c r="G30" i="59" s="1"/>
  <c r="F26" i="59"/>
  <c r="F30" i="59" s="1"/>
  <c r="F38" i="59" s="1"/>
  <c r="F45" i="59" s="1"/>
  <c r="E26" i="59"/>
  <c r="E30" i="59" s="1"/>
  <c r="E38" i="59" s="1"/>
  <c r="E45" i="59" s="1"/>
  <c r="D26" i="59"/>
  <c r="D30" i="59" s="1"/>
  <c r="AD25" i="59"/>
  <c r="AD29" i="59" s="1"/>
  <c r="AC25" i="59"/>
  <c r="AC29" i="59" s="1"/>
  <c r="AC37" i="59" s="1"/>
  <c r="AC44" i="59" s="1"/>
  <c r="AB25" i="59"/>
  <c r="AB29" i="59" s="1"/>
  <c r="AB37" i="59" s="1"/>
  <c r="AB44" i="59" s="1"/>
  <c r="AA25" i="59"/>
  <c r="AA29" i="59" s="1"/>
  <c r="Z25" i="59"/>
  <c r="Z29" i="59" s="1"/>
  <c r="Y25" i="59"/>
  <c r="Y29" i="59" s="1"/>
  <c r="Y37" i="59" s="1"/>
  <c r="Y44" i="59" s="1"/>
  <c r="X25" i="59"/>
  <c r="X29" i="59" s="1"/>
  <c r="X37" i="59" s="1"/>
  <c r="X44" i="59" s="1"/>
  <c r="W25" i="59"/>
  <c r="W29" i="59" s="1"/>
  <c r="V25" i="59"/>
  <c r="V29" i="59" s="1"/>
  <c r="U25" i="59"/>
  <c r="U29" i="59" s="1"/>
  <c r="U37" i="59" s="1"/>
  <c r="U44" i="59" s="1"/>
  <c r="T25" i="59"/>
  <c r="T29" i="59" s="1"/>
  <c r="T37" i="59" s="1"/>
  <c r="T44" i="59" s="1"/>
  <c r="S25" i="59"/>
  <c r="S29" i="59" s="1"/>
  <c r="R25" i="59"/>
  <c r="R29" i="59" s="1"/>
  <c r="Q25" i="59"/>
  <c r="Q29" i="59" s="1"/>
  <c r="Q37" i="59" s="1"/>
  <c r="Q44" i="59" s="1"/>
  <c r="P25" i="59"/>
  <c r="P29" i="59" s="1"/>
  <c r="P37" i="59" s="1"/>
  <c r="P44" i="59" s="1"/>
  <c r="O25" i="59"/>
  <c r="O29" i="59" s="1"/>
  <c r="N25" i="59"/>
  <c r="N29" i="59" s="1"/>
  <c r="M25" i="59"/>
  <c r="M29" i="59" s="1"/>
  <c r="M37" i="59" s="1"/>
  <c r="M44" i="59" s="1"/>
  <c r="L25" i="59"/>
  <c r="L29" i="59" s="1"/>
  <c r="L37" i="59" s="1"/>
  <c r="L44" i="59" s="1"/>
  <c r="K25" i="59"/>
  <c r="K29" i="59" s="1"/>
  <c r="J25" i="59"/>
  <c r="J29" i="59" s="1"/>
  <c r="I25" i="59"/>
  <c r="I29" i="59" s="1"/>
  <c r="H25" i="59"/>
  <c r="H29" i="59" s="1"/>
  <c r="H37" i="59" s="1"/>
  <c r="H44" i="59" s="1"/>
  <c r="G25" i="59"/>
  <c r="G29" i="59" s="1"/>
  <c r="F25" i="59"/>
  <c r="F29" i="59" s="1"/>
  <c r="E25" i="59"/>
  <c r="E29" i="59" s="1"/>
  <c r="E37" i="59" s="1"/>
  <c r="E44" i="59" s="1"/>
  <c r="D25" i="59"/>
  <c r="D29" i="59" s="1"/>
  <c r="D37" i="59" s="1"/>
  <c r="D44" i="59" s="1"/>
  <c r="F14" i="59"/>
  <c r="F13" i="59"/>
  <c r="F12" i="59"/>
  <c r="F11" i="59"/>
  <c r="F10" i="59"/>
  <c r="F9" i="59"/>
  <c r="F8" i="59"/>
  <c r="F7" i="59"/>
  <c r="G37" i="60" l="1"/>
  <c r="G44" i="60" s="1"/>
  <c r="K37" i="60"/>
  <c r="K44" i="60" s="1"/>
  <c r="O37" i="60"/>
  <c r="O44" i="60" s="1"/>
  <c r="F37" i="59"/>
  <c r="F44" i="59" s="1"/>
  <c r="J37" i="59"/>
  <c r="J44" i="59" s="1"/>
  <c r="N37" i="59"/>
  <c r="N44" i="59" s="1"/>
  <c r="R37" i="59"/>
  <c r="R44" i="59" s="1"/>
  <c r="V37" i="59"/>
  <c r="V44" i="59" s="1"/>
  <c r="Z37" i="59"/>
  <c r="Z44" i="59" s="1"/>
  <c r="AD37" i="59"/>
  <c r="AD44" i="59" s="1"/>
  <c r="G38" i="59"/>
  <c r="G45" i="59" s="1"/>
  <c r="K38" i="59"/>
  <c r="K45" i="59" s="1"/>
  <c r="O38" i="59"/>
  <c r="O45" i="59" s="1"/>
  <c r="S38" i="59"/>
  <c r="S45" i="59" s="1"/>
  <c r="W38" i="59"/>
  <c r="W45" i="59" s="1"/>
  <c r="AA38" i="59"/>
  <c r="AA45" i="59" s="1"/>
  <c r="I37" i="59"/>
  <c r="I44" i="59" s="1"/>
  <c r="AD38" i="59"/>
  <c r="AD45" i="59" s="1"/>
  <c r="G37" i="59"/>
  <c r="G44" i="59" s="1"/>
  <c r="K37" i="59"/>
  <c r="K44" i="59" s="1"/>
  <c r="O37" i="59"/>
  <c r="O44" i="59" s="1"/>
  <c r="S37" i="59"/>
  <c r="S44" i="59" s="1"/>
  <c r="W37" i="59"/>
  <c r="W44" i="59" s="1"/>
  <c r="AA37" i="59"/>
  <c r="AA44" i="59" s="1"/>
  <c r="D38" i="59"/>
  <c r="D45" i="59" s="1"/>
  <c r="H38" i="59"/>
  <c r="H45" i="59" s="1"/>
  <c r="L38" i="59"/>
  <c r="L45" i="59" s="1"/>
  <c r="P38" i="59"/>
  <c r="P45" i="59" s="1"/>
  <c r="T38" i="59"/>
  <c r="T45" i="59" s="1"/>
  <c r="X38" i="59"/>
  <c r="X45" i="59" s="1"/>
  <c r="AB38" i="59"/>
  <c r="AB45" i="59" s="1"/>
  <c r="D12" i="54" l="1"/>
  <c r="E12" i="54"/>
  <c r="C12" i="54"/>
  <c r="E11" i="54"/>
  <c r="D11" i="54"/>
  <c r="C11" i="54"/>
  <c r="T31" i="53" l="1"/>
  <c r="Q31" i="53"/>
  <c r="N31" i="53"/>
  <c r="K31" i="53"/>
  <c r="H31" i="53"/>
  <c r="E31" i="53"/>
  <c r="T30" i="53"/>
  <c r="Q30" i="53"/>
  <c r="N30" i="53"/>
  <c r="K30" i="53"/>
  <c r="H30" i="53"/>
  <c r="E30" i="53"/>
  <c r="T29" i="53"/>
  <c r="Q29" i="53"/>
  <c r="N29" i="53"/>
  <c r="K29" i="53"/>
  <c r="H29" i="53"/>
  <c r="E29" i="53"/>
  <c r="T28" i="53"/>
  <c r="T32" i="53" s="1"/>
  <c r="Q28" i="53"/>
  <c r="Q32" i="53" s="1"/>
  <c r="N28" i="53"/>
  <c r="K28" i="53"/>
  <c r="H28" i="53"/>
  <c r="H32" i="53" s="1"/>
  <c r="E28" i="53"/>
  <c r="E32" i="53" s="1"/>
  <c r="T27" i="53"/>
  <c r="T33" i="53" s="1"/>
  <c r="Q27" i="53"/>
  <c r="Q33" i="53" s="1"/>
  <c r="N27" i="53"/>
  <c r="N32" i="53" s="1"/>
  <c r="K27" i="53"/>
  <c r="K32" i="53" s="1"/>
  <c r="H27" i="53"/>
  <c r="H33" i="53" s="1"/>
  <c r="E27" i="53"/>
  <c r="E33" i="53" s="1"/>
  <c r="T20" i="53"/>
  <c r="Q20" i="53"/>
  <c r="N20" i="53"/>
  <c r="K20" i="53"/>
  <c r="H20" i="53"/>
  <c r="E20" i="53"/>
  <c r="T19" i="53"/>
  <c r="Q19" i="53"/>
  <c r="N19" i="53"/>
  <c r="K19" i="53"/>
  <c r="H19" i="53"/>
  <c r="E19" i="53"/>
  <c r="T18" i="53"/>
  <c r="Q18" i="53"/>
  <c r="N18" i="53"/>
  <c r="K18" i="53"/>
  <c r="H18" i="53"/>
  <c r="E18" i="53"/>
  <c r="T17" i="53"/>
  <c r="Q17" i="53"/>
  <c r="N17" i="53"/>
  <c r="N21" i="53" s="1"/>
  <c r="K17" i="53"/>
  <c r="K21" i="53" s="1"/>
  <c r="H17" i="53"/>
  <c r="E17" i="53"/>
  <c r="T16" i="53"/>
  <c r="T21" i="53" s="1"/>
  <c r="Q16" i="53"/>
  <c r="Q21" i="53" s="1"/>
  <c r="N16" i="53"/>
  <c r="N22" i="53" s="1"/>
  <c r="K16" i="53"/>
  <c r="K22" i="53" s="1"/>
  <c r="H16" i="53"/>
  <c r="H21" i="53" s="1"/>
  <c r="E16" i="53"/>
  <c r="E21" i="53" s="1"/>
  <c r="T9" i="53"/>
  <c r="Q9" i="53"/>
  <c r="N9" i="53"/>
  <c r="K9" i="53"/>
  <c r="H9" i="53"/>
  <c r="E9" i="53"/>
  <c r="T8" i="53"/>
  <c r="Q8" i="53"/>
  <c r="N8" i="53"/>
  <c r="K8" i="53"/>
  <c r="H8" i="53"/>
  <c r="E8" i="53"/>
  <c r="T7" i="53"/>
  <c r="Q7" i="53"/>
  <c r="N7" i="53"/>
  <c r="K7" i="53"/>
  <c r="H7" i="53"/>
  <c r="E7" i="53"/>
  <c r="T6" i="53"/>
  <c r="T10" i="53" s="1"/>
  <c r="Q6" i="53"/>
  <c r="Q10" i="53" s="1"/>
  <c r="N6" i="53"/>
  <c r="K6" i="53"/>
  <c r="H6" i="53"/>
  <c r="H10" i="53" s="1"/>
  <c r="E6" i="53"/>
  <c r="E10" i="53" s="1"/>
  <c r="T5" i="53"/>
  <c r="T11" i="53" s="1"/>
  <c r="Q5" i="53"/>
  <c r="Q11" i="53" s="1"/>
  <c r="N5" i="53"/>
  <c r="N10" i="53" s="1"/>
  <c r="K5" i="53"/>
  <c r="K10" i="53" s="1"/>
  <c r="H5" i="53"/>
  <c r="H11" i="53" s="1"/>
  <c r="E5" i="53"/>
  <c r="E11" i="53" s="1"/>
  <c r="K11" i="53" l="1"/>
  <c r="E22" i="53"/>
  <c r="Q22" i="53"/>
  <c r="K33" i="53"/>
  <c r="N11" i="53"/>
  <c r="H22" i="53"/>
  <c r="T22" i="53"/>
  <c r="N33" i="53"/>
  <c r="J40" i="51" l="1"/>
  <c r="I40" i="51"/>
  <c r="H40" i="51"/>
  <c r="G40" i="51"/>
  <c r="F40" i="51"/>
  <c r="E40" i="51"/>
  <c r="D40" i="51"/>
  <c r="J39" i="51"/>
  <c r="I39" i="51"/>
  <c r="H39" i="51"/>
  <c r="G39" i="51"/>
  <c r="F39" i="51"/>
  <c r="E39" i="51"/>
  <c r="D39" i="51"/>
  <c r="J31" i="51"/>
  <c r="I31" i="51"/>
  <c r="H31" i="51"/>
  <c r="G31" i="51"/>
  <c r="F31" i="51"/>
  <c r="E31" i="51"/>
  <c r="D31" i="51"/>
  <c r="J30" i="51"/>
  <c r="I30" i="51"/>
  <c r="H30" i="51"/>
  <c r="G30" i="51"/>
  <c r="F30" i="51"/>
  <c r="E30" i="51"/>
  <c r="D30" i="51"/>
  <c r="J22" i="51"/>
  <c r="I22" i="51"/>
  <c r="H22" i="51"/>
  <c r="G22" i="51"/>
  <c r="F22" i="51"/>
  <c r="E22" i="51"/>
  <c r="D22" i="51"/>
  <c r="J21" i="51"/>
  <c r="I21" i="51"/>
  <c r="H21" i="51"/>
  <c r="G21" i="51"/>
  <c r="F21" i="51"/>
  <c r="E21" i="51"/>
  <c r="D21" i="51"/>
  <c r="J12" i="51"/>
  <c r="I12" i="51"/>
  <c r="H12" i="51"/>
  <c r="G12" i="51"/>
  <c r="F12" i="51"/>
  <c r="E12" i="51"/>
  <c r="D12" i="51"/>
  <c r="J11" i="51"/>
  <c r="I11" i="51"/>
  <c r="H11" i="51"/>
  <c r="G11" i="51"/>
  <c r="F11" i="51"/>
  <c r="E11" i="51"/>
  <c r="D11" i="51"/>
  <c r="L15" i="43" l="1"/>
  <c r="N15" i="43" s="1"/>
  <c r="Q15" i="43" s="1"/>
  <c r="S15" i="43" s="1"/>
  <c r="K15" i="43"/>
  <c r="J15" i="43"/>
  <c r="O15" i="43" s="1"/>
  <c r="S16" i="39" l="1"/>
  <c r="J16" i="39"/>
  <c r="S15" i="39"/>
  <c r="J15" i="39"/>
  <c r="S14" i="39"/>
  <c r="J14" i="39"/>
  <c r="S13" i="39"/>
  <c r="J13" i="39"/>
  <c r="S12" i="39"/>
  <c r="J12" i="39"/>
  <c r="S11" i="39"/>
  <c r="J11" i="39"/>
  <c r="S10" i="39"/>
  <c r="J10" i="39"/>
  <c r="S9" i="39"/>
  <c r="J9" i="39"/>
  <c r="S8" i="39"/>
  <c r="J8" i="39"/>
  <c r="P36" i="38" l="1"/>
  <c r="N36" i="38"/>
  <c r="L36" i="38"/>
  <c r="K36" i="38"/>
  <c r="P35" i="38"/>
  <c r="N35" i="38"/>
  <c r="L35" i="38"/>
  <c r="K35" i="38"/>
  <c r="P34" i="38"/>
  <c r="N34" i="38"/>
  <c r="L34" i="38"/>
  <c r="K34" i="38"/>
  <c r="P33" i="38"/>
  <c r="N33" i="38"/>
  <c r="L33" i="38"/>
  <c r="K33" i="38"/>
  <c r="P32" i="38"/>
  <c r="N32" i="38"/>
  <c r="L32" i="38"/>
  <c r="K32" i="38"/>
  <c r="P31" i="38"/>
  <c r="N31" i="38"/>
  <c r="L31" i="38"/>
  <c r="K31" i="38"/>
  <c r="P30" i="38"/>
  <c r="N30" i="38"/>
  <c r="L30" i="38"/>
  <c r="K30" i="38"/>
  <c r="P29" i="38"/>
  <c r="N29" i="38"/>
  <c r="L29" i="38"/>
  <c r="K29" i="38"/>
  <c r="P28" i="38"/>
  <c r="N28" i="38"/>
  <c r="L28" i="38"/>
  <c r="K28" i="38"/>
  <c r="P19" i="38"/>
  <c r="N19" i="38"/>
  <c r="L19" i="38"/>
  <c r="K19" i="38"/>
  <c r="P18" i="38"/>
  <c r="N18" i="38"/>
  <c r="L18" i="38"/>
  <c r="K18" i="38"/>
  <c r="P17" i="38"/>
  <c r="N17" i="38"/>
  <c r="L17" i="38"/>
  <c r="K17" i="38"/>
  <c r="P16" i="38"/>
  <c r="N16" i="38"/>
  <c r="L16" i="38"/>
  <c r="K16" i="38"/>
  <c r="P15" i="38"/>
  <c r="N15" i="38"/>
  <c r="L15" i="38"/>
  <c r="K15" i="38"/>
  <c r="P14" i="38"/>
  <c r="N14" i="38"/>
  <c r="L14" i="38"/>
  <c r="K14" i="38"/>
  <c r="P13" i="38"/>
  <c r="N13" i="38"/>
  <c r="L13" i="38"/>
  <c r="K13" i="38"/>
  <c r="P12" i="38"/>
  <c r="N12" i="38"/>
  <c r="L12" i="38"/>
  <c r="K12" i="38"/>
  <c r="P11" i="38"/>
  <c r="N11" i="38"/>
  <c r="L11" i="38"/>
  <c r="K11" i="38"/>
  <c r="C11" i="37" l="1"/>
  <c r="C10" i="37"/>
  <c r="C22" i="37"/>
  <c r="C21" i="37"/>
  <c r="C187" i="37"/>
  <c r="C186" i="37"/>
  <c r="C176" i="37"/>
  <c r="C175" i="37"/>
  <c r="C165" i="37"/>
  <c r="C164" i="37"/>
  <c r="C154" i="37"/>
  <c r="C153" i="37"/>
  <c r="C143" i="37"/>
  <c r="C142" i="37"/>
  <c r="C132" i="37"/>
  <c r="C131" i="37"/>
  <c r="C121" i="37"/>
  <c r="C120" i="37"/>
  <c r="C110" i="37"/>
  <c r="C109" i="37"/>
  <c r="C99" i="37"/>
  <c r="C98" i="37"/>
  <c r="C88" i="37"/>
  <c r="C87" i="37"/>
  <c r="C77" i="37"/>
  <c r="C76" i="37"/>
  <c r="C66" i="37"/>
  <c r="C65" i="37"/>
  <c r="C55" i="37"/>
  <c r="C54" i="37"/>
  <c r="C44" i="37"/>
  <c r="C43" i="37"/>
  <c r="C33" i="37"/>
  <c r="C32" i="37"/>
  <c r="B187" i="37"/>
  <c r="B186" i="37"/>
  <c r="B176" i="37"/>
  <c r="B175" i="37"/>
  <c r="B165" i="37"/>
  <c r="B164" i="37"/>
  <c r="B154" i="37"/>
  <c r="B153" i="37"/>
  <c r="B143" i="37"/>
  <c r="B142" i="37"/>
  <c r="B132" i="37"/>
  <c r="B131" i="37"/>
  <c r="B110" i="37"/>
  <c r="B109" i="37"/>
  <c r="B99" i="37"/>
  <c r="B98" i="37"/>
  <c r="B88" i="37"/>
  <c r="B87" i="37"/>
  <c r="B77" i="37"/>
  <c r="B76" i="37"/>
  <c r="B66" i="37"/>
  <c r="B65" i="37"/>
  <c r="B55" i="37"/>
  <c r="B54" i="37"/>
  <c r="B44" i="37"/>
  <c r="B43" i="37"/>
  <c r="B33" i="37"/>
  <c r="B32" i="37"/>
  <c r="B22" i="37"/>
  <c r="B21" i="37"/>
  <c r="B11" i="37"/>
  <c r="B10" i="37"/>
  <c r="B121" i="37"/>
  <c r="B120" i="37"/>
  <c r="D187" i="37" l="1"/>
  <c r="I187" i="37"/>
  <c r="H187" i="37"/>
  <c r="G187" i="37"/>
  <c r="J187" i="37"/>
  <c r="F187" i="37"/>
  <c r="E187" i="37"/>
  <c r="D186" i="37"/>
  <c r="I186" i="37"/>
  <c r="H186" i="37"/>
  <c r="G186" i="37"/>
  <c r="J186" i="37"/>
  <c r="F186" i="37"/>
  <c r="E186" i="37"/>
  <c r="D176" i="37"/>
  <c r="I176" i="37"/>
  <c r="H176" i="37"/>
  <c r="G176" i="37"/>
  <c r="J176" i="37"/>
  <c r="F176" i="37"/>
  <c r="E176" i="37"/>
  <c r="D175" i="37"/>
  <c r="I175" i="37"/>
  <c r="H175" i="37"/>
  <c r="G175" i="37"/>
  <c r="J175" i="37"/>
  <c r="F175" i="37"/>
  <c r="E175" i="37"/>
  <c r="D165" i="37"/>
  <c r="I165" i="37"/>
  <c r="H165" i="37"/>
  <c r="G165" i="37"/>
  <c r="J165" i="37"/>
  <c r="F165" i="37"/>
  <c r="E165" i="37"/>
  <c r="D164" i="37"/>
  <c r="I164" i="37"/>
  <c r="H164" i="37"/>
  <c r="G164" i="37"/>
  <c r="J164" i="37"/>
  <c r="F164" i="37"/>
  <c r="E164" i="37"/>
  <c r="D154" i="37"/>
  <c r="I154" i="37"/>
  <c r="H154" i="37"/>
  <c r="G154" i="37"/>
  <c r="J154" i="37"/>
  <c r="F154" i="37"/>
  <c r="E154" i="37"/>
  <c r="D153" i="37"/>
  <c r="I153" i="37"/>
  <c r="H153" i="37"/>
  <c r="G153" i="37"/>
  <c r="J153" i="37"/>
  <c r="F153" i="37"/>
  <c r="E153" i="37"/>
  <c r="D143" i="37"/>
  <c r="I143" i="37"/>
  <c r="H143" i="37"/>
  <c r="G143" i="37"/>
  <c r="J143" i="37"/>
  <c r="F143" i="37"/>
  <c r="E143" i="37"/>
  <c r="D142" i="37"/>
  <c r="I142" i="37"/>
  <c r="H142" i="37"/>
  <c r="G142" i="37"/>
  <c r="J142" i="37"/>
  <c r="F142" i="37"/>
  <c r="E142" i="37"/>
  <c r="D132" i="37"/>
  <c r="I132" i="37"/>
  <c r="H132" i="37"/>
  <c r="G132" i="37"/>
  <c r="J132" i="37"/>
  <c r="F132" i="37"/>
  <c r="E132" i="37"/>
  <c r="D131" i="37"/>
  <c r="I131" i="37"/>
  <c r="H131" i="37"/>
  <c r="G131" i="37"/>
  <c r="J131" i="37"/>
  <c r="F131" i="37"/>
  <c r="E131" i="37"/>
  <c r="D121" i="37"/>
  <c r="I121" i="37"/>
  <c r="H121" i="37"/>
  <c r="G121" i="37"/>
  <c r="J121" i="37"/>
  <c r="F121" i="37"/>
  <c r="E121" i="37"/>
  <c r="D120" i="37"/>
  <c r="I120" i="37"/>
  <c r="H120" i="37"/>
  <c r="G120" i="37"/>
  <c r="J120" i="37"/>
  <c r="F120" i="37"/>
  <c r="E120" i="37"/>
  <c r="D110" i="37"/>
  <c r="I110" i="37"/>
  <c r="H110" i="37"/>
  <c r="G110" i="37"/>
  <c r="J110" i="37"/>
  <c r="F110" i="37"/>
  <c r="E110" i="37"/>
  <c r="D109" i="37"/>
  <c r="I109" i="37"/>
  <c r="H109" i="37"/>
  <c r="G109" i="37"/>
  <c r="J109" i="37"/>
  <c r="F109" i="37"/>
  <c r="E109" i="37"/>
  <c r="D99" i="37"/>
  <c r="I99" i="37"/>
  <c r="H99" i="37"/>
  <c r="G99" i="37"/>
  <c r="J99" i="37"/>
  <c r="F99" i="37"/>
  <c r="E99" i="37"/>
  <c r="D98" i="37"/>
  <c r="I98" i="37"/>
  <c r="H98" i="37"/>
  <c r="G98" i="37"/>
  <c r="J98" i="37"/>
  <c r="F98" i="37"/>
  <c r="E98" i="37"/>
  <c r="D88" i="37"/>
  <c r="I88" i="37"/>
  <c r="H88" i="37"/>
  <c r="G88" i="37"/>
  <c r="J88" i="37"/>
  <c r="F88" i="37"/>
  <c r="E88" i="37"/>
  <c r="D87" i="37"/>
  <c r="I87" i="37"/>
  <c r="H87" i="37"/>
  <c r="G87" i="37"/>
  <c r="J87" i="37"/>
  <c r="F87" i="37"/>
  <c r="E87" i="37"/>
  <c r="D77" i="37"/>
  <c r="I77" i="37"/>
  <c r="H77" i="37"/>
  <c r="G77" i="37"/>
  <c r="J77" i="37"/>
  <c r="F77" i="37"/>
  <c r="E77" i="37"/>
  <c r="D76" i="37"/>
  <c r="I76" i="37"/>
  <c r="H76" i="37"/>
  <c r="G76" i="37"/>
  <c r="J76" i="37"/>
  <c r="F76" i="37"/>
  <c r="E76" i="37"/>
  <c r="D66" i="37"/>
  <c r="I66" i="37"/>
  <c r="H66" i="37"/>
  <c r="G66" i="37"/>
  <c r="J66" i="37"/>
  <c r="F66" i="37"/>
  <c r="E66" i="37"/>
  <c r="D65" i="37"/>
  <c r="I65" i="37"/>
  <c r="H65" i="37"/>
  <c r="G65" i="37"/>
  <c r="J65" i="37"/>
  <c r="F65" i="37"/>
  <c r="E65" i="37"/>
  <c r="D55" i="37"/>
  <c r="I55" i="37"/>
  <c r="H55" i="37"/>
  <c r="G55" i="37"/>
  <c r="J55" i="37"/>
  <c r="F55" i="37"/>
  <c r="E55" i="37"/>
  <c r="D54" i="37"/>
  <c r="I54" i="37"/>
  <c r="H54" i="37"/>
  <c r="G54" i="37"/>
  <c r="J54" i="37"/>
  <c r="F54" i="37"/>
  <c r="E54" i="37"/>
  <c r="D44" i="37"/>
  <c r="I44" i="37"/>
  <c r="H44" i="37"/>
  <c r="G44" i="37"/>
  <c r="J44" i="37"/>
  <c r="F44" i="37"/>
  <c r="E44" i="37"/>
  <c r="D43" i="37"/>
  <c r="I43" i="37"/>
  <c r="H43" i="37"/>
  <c r="G43" i="37"/>
  <c r="J43" i="37"/>
  <c r="F43" i="37"/>
  <c r="E43" i="37"/>
  <c r="D33" i="37"/>
  <c r="I33" i="37"/>
  <c r="H33" i="37"/>
  <c r="G33" i="37"/>
  <c r="J33" i="37"/>
  <c r="F33" i="37"/>
  <c r="E33" i="37"/>
  <c r="D32" i="37"/>
  <c r="I32" i="37"/>
  <c r="H32" i="37"/>
  <c r="G32" i="37"/>
  <c r="J32" i="37"/>
  <c r="F32" i="37"/>
  <c r="E32" i="37"/>
  <c r="D22" i="37"/>
  <c r="I22" i="37"/>
  <c r="H22" i="37"/>
  <c r="G22" i="37"/>
  <c r="J22" i="37"/>
  <c r="F22" i="37"/>
  <c r="E22" i="37"/>
  <c r="D21" i="37"/>
  <c r="I21" i="37"/>
  <c r="H21" i="37"/>
  <c r="G21" i="37"/>
  <c r="J21" i="37"/>
  <c r="F21" i="37"/>
  <c r="E21" i="37"/>
  <c r="D11" i="37"/>
  <c r="I11" i="37"/>
  <c r="H11" i="37"/>
  <c r="G11" i="37"/>
  <c r="J11" i="37"/>
  <c r="F11" i="37"/>
  <c r="E11" i="37"/>
  <c r="D10" i="37"/>
  <c r="I10" i="37"/>
  <c r="H10" i="37"/>
  <c r="G10" i="37"/>
  <c r="J10" i="37"/>
  <c r="F10" i="37"/>
  <c r="E10" i="37"/>
  <c r="L56" i="35" l="1"/>
  <c r="K56" i="35"/>
  <c r="J56" i="35"/>
  <c r="O56" i="35" s="1"/>
  <c r="L55" i="35"/>
  <c r="K55" i="35"/>
  <c r="J55" i="35"/>
  <c r="O55" i="35" s="1"/>
  <c r="L54" i="35"/>
  <c r="K54" i="35"/>
  <c r="J54" i="35"/>
  <c r="O54" i="35" s="1"/>
  <c r="L53" i="35"/>
  <c r="K53" i="35"/>
  <c r="J53" i="35"/>
  <c r="O53" i="35" s="1"/>
  <c r="L51" i="35"/>
  <c r="K51" i="35"/>
  <c r="J51" i="35"/>
  <c r="L50" i="35"/>
  <c r="N50" i="35" s="1"/>
  <c r="K50" i="35"/>
  <c r="J50" i="35"/>
  <c r="L49" i="35"/>
  <c r="K49" i="35"/>
  <c r="J49" i="35"/>
  <c r="L48" i="35"/>
  <c r="K48" i="35"/>
  <c r="J48" i="35"/>
  <c r="O48" i="35" s="1"/>
  <c r="L45" i="35"/>
  <c r="K45" i="35"/>
  <c r="J45" i="35"/>
  <c r="O45" i="35" s="1"/>
  <c r="N44" i="35"/>
  <c r="Q44" i="35" s="1"/>
  <c r="S44" i="35" s="1"/>
  <c r="L44" i="35"/>
  <c r="K44" i="35"/>
  <c r="J44" i="35"/>
  <c r="O44" i="35" s="1"/>
  <c r="L43" i="35"/>
  <c r="N43" i="35" s="1"/>
  <c r="Q43" i="35" s="1"/>
  <c r="S43" i="35" s="1"/>
  <c r="K43" i="35"/>
  <c r="J43" i="35"/>
  <c r="L42" i="35"/>
  <c r="N42" i="35" s="1"/>
  <c r="Q42" i="35" s="1"/>
  <c r="S42" i="35" s="1"/>
  <c r="K42" i="35"/>
  <c r="J42" i="35"/>
  <c r="L36" i="35"/>
  <c r="K36" i="35"/>
  <c r="N36" i="35" s="1"/>
  <c r="J36" i="35"/>
  <c r="L35" i="35"/>
  <c r="K35" i="35"/>
  <c r="J35" i="35"/>
  <c r="O35" i="35" s="1"/>
  <c r="L34" i="35"/>
  <c r="K34" i="35"/>
  <c r="J34" i="35"/>
  <c r="O34" i="35" s="1"/>
  <c r="L33" i="35"/>
  <c r="N33" i="35" s="1"/>
  <c r="Q33" i="35" s="1"/>
  <c r="S33" i="35" s="1"/>
  <c r="K33" i="35"/>
  <c r="J33" i="35"/>
  <c r="L31" i="35"/>
  <c r="N31" i="35" s="1"/>
  <c r="K31" i="35"/>
  <c r="J31" i="35"/>
  <c r="L30" i="35"/>
  <c r="K30" i="35"/>
  <c r="J30" i="35"/>
  <c r="L29" i="35"/>
  <c r="K29" i="35"/>
  <c r="J29" i="35"/>
  <c r="O29" i="35" s="1"/>
  <c r="L28" i="35"/>
  <c r="K28" i="35"/>
  <c r="J28" i="35"/>
  <c r="O28" i="35" s="1"/>
  <c r="N26" i="35"/>
  <c r="L26" i="35"/>
  <c r="K26" i="35"/>
  <c r="J26" i="35"/>
  <c r="O26" i="35" s="1"/>
  <c r="L25" i="35"/>
  <c r="N25" i="35" s="1"/>
  <c r="K25" i="35"/>
  <c r="J25" i="35"/>
  <c r="L24" i="35"/>
  <c r="K24" i="35"/>
  <c r="N24" i="35" s="1"/>
  <c r="J24" i="35"/>
  <c r="L23" i="35"/>
  <c r="K23" i="35"/>
  <c r="J23" i="35"/>
  <c r="O23" i="35" s="1"/>
  <c r="J5" i="35"/>
  <c r="K5" i="35"/>
  <c r="L5" i="35"/>
  <c r="O5" i="35"/>
  <c r="L18" i="35"/>
  <c r="K18" i="35"/>
  <c r="J18" i="35"/>
  <c r="O18" i="35" s="1"/>
  <c r="L17" i="35"/>
  <c r="K17" i="35"/>
  <c r="J17" i="35"/>
  <c r="L16" i="35"/>
  <c r="K16" i="35"/>
  <c r="J16" i="35"/>
  <c r="L15" i="35"/>
  <c r="N15" i="35" s="1"/>
  <c r="Q15" i="35" s="1"/>
  <c r="S15" i="35" s="1"/>
  <c r="K15" i="35"/>
  <c r="J15" i="35"/>
  <c r="L13" i="35"/>
  <c r="K13" i="35"/>
  <c r="J13" i="35"/>
  <c r="O13" i="35" s="1"/>
  <c r="L12" i="35"/>
  <c r="K12" i="35"/>
  <c r="J12" i="35"/>
  <c r="O12" i="35" s="1"/>
  <c r="L11" i="35"/>
  <c r="K11" i="35"/>
  <c r="J11" i="35"/>
  <c r="L10" i="35"/>
  <c r="N10" i="35" s="1"/>
  <c r="Q10" i="35" s="1"/>
  <c r="S10" i="35" s="1"/>
  <c r="K10" i="35"/>
  <c r="J10" i="35"/>
  <c r="L8" i="35"/>
  <c r="K8" i="35"/>
  <c r="J8" i="35"/>
  <c r="L7" i="35"/>
  <c r="K7" i="35"/>
  <c r="J7" i="35"/>
  <c r="O7" i="35" s="1"/>
  <c r="L6" i="35"/>
  <c r="K6" i="35"/>
  <c r="J6" i="35"/>
  <c r="N6" i="35" s="1"/>
  <c r="Q24" i="35" l="1"/>
  <c r="S24" i="35" s="1"/>
  <c r="Q25" i="35"/>
  <c r="S25" i="35" s="1"/>
  <c r="Q26" i="35"/>
  <c r="S26" i="35" s="1"/>
  <c r="N8" i="35"/>
  <c r="N29" i="35"/>
  <c r="N30" i="35"/>
  <c r="N49" i="35"/>
  <c r="Q49" i="35" s="1"/>
  <c r="S49" i="35" s="1"/>
  <c r="O10" i="35"/>
  <c r="N11" i="35"/>
  <c r="Q11" i="35" s="1"/>
  <c r="S11" i="35" s="1"/>
  <c r="N13" i="35"/>
  <c r="Q13" i="35" s="1"/>
  <c r="S13" i="35" s="1"/>
  <c r="O17" i="35"/>
  <c r="N23" i="35"/>
  <c r="Q23" i="35" s="1"/>
  <c r="S23" i="35" s="1"/>
  <c r="O25" i="35"/>
  <c r="O31" i="35"/>
  <c r="O33" i="35"/>
  <c r="N34" i="35"/>
  <c r="N35" i="35"/>
  <c r="O43" i="35"/>
  <c r="N48" i="35"/>
  <c r="Q48" i="35" s="1"/>
  <c r="S48" i="35" s="1"/>
  <c r="O50" i="35"/>
  <c r="O51" i="35"/>
  <c r="N54" i="35"/>
  <c r="O8" i="35"/>
  <c r="O15" i="35"/>
  <c r="N16" i="35"/>
  <c r="Q16" i="35" s="1"/>
  <c r="S16" i="35" s="1"/>
  <c r="N18" i="35"/>
  <c r="Q18" i="35" s="1"/>
  <c r="S18" i="35" s="1"/>
  <c r="N5" i="35"/>
  <c r="Q5" i="35" s="1"/>
  <c r="S5" i="35" s="1"/>
  <c r="O24" i="35"/>
  <c r="N28" i="35"/>
  <c r="Q28" i="35" s="1"/>
  <c r="S28" i="35" s="1"/>
  <c r="O30" i="35"/>
  <c r="O36" i="35"/>
  <c r="O42" i="35"/>
  <c r="O49" i="35"/>
  <c r="N53" i="35"/>
  <c r="Q53" i="35" s="1"/>
  <c r="S53" i="35" s="1"/>
  <c r="N55" i="35"/>
  <c r="Q55" i="35" s="1"/>
  <c r="S55" i="35" s="1"/>
  <c r="N45" i="35"/>
  <c r="Q45" i="35" s="1"/>
  <c r="S45" i="35" s="1"/>
  <c r="N51" i="35"/>
  <c r="N56" i="35"/>
  <c r="Q29" i="35"/>
  <c r="S29" i="35" s="1"/>
  <c r="Q30" i="35"/>
  <c r="S30" i="35" s="1"/>
  <c r="Q34" i="35"/>
  <c r="S34" i="35" s="1"/>
  <c r="Q35" i="35"/>
  <c r="S35" i="35" s="1"/>
  <c r="Q36" i="35"/>
  <c r="S36" i="35" s="1"/>
  <c r="O6" i="35"/>
  <c r="O11" i="35"/>
  <c r="O16" i="35"/>
  <c r="N7" i="35"/>
  <c r="N12" i="35"/>
  <c r="Q12" i="35" s="1"/>
  <c r="S12" i="35" s="1"/>
  <c r="N17" i="35"/>
  <c r="Q17" i="35" s="1"/>
  <c r="S17" i="35" s="1"/>
  <c r="Q50" i="35" l="1"/>
  <c r="S50" i="35" s="1"/>
  <c r="Q54" i="35"/>
  <c r="S54" i="35" s="1"/>
  <c r="Q7" i="35"/>
  <c r="S7" i="35" s="1"/>
  <c r="Q8" i="35"/>
  <c r="S8" i="35" s="1"/>
  <c r="Q56" i="35"/>
  <c r="S56" i="35" s="1"/>
  <c r="Q6" i="35"/>
  <c r="S6" i="35" s="1"/>
  <c r="Q31" i="35"/>
  <c r="S31" i="35" s="1"/>
  <c r="Q51" i="35"/>
  <c r="S51" i="35" s="1"/>
  <c r="N37" i="33" l="1"/>
  <c r="M37" i="33"/>
  <c r="L37" i="33"/>
  <c r="N36" i="33"/>
  <c r="M36" i="33"/>
  <c r="L36" i="33"/>
  <c r="N35" i="33"/>
  <c r="M35" i="33"/>
  <c r="L35" i="33"/>
  <c r="N34" i="33"/>
  <c r="M34" i="33"/>
  <c r="L34" i="33"/>
  <c r="N33" i="33"/>
  <c r="M33" i="33"/>
  <c r="L33" i="33"/>
  <c r="Q33" i="33" s="1"/>
  <c r="N28" i="33"/>
  <c r="M28" i="33"/>
  <c r="L28" i="33"/>
  <c r="N27" i="33"/>
  <c r="M27" i="33"/>
  <c r="L27" i="33"/>
  <c r="N26" i="33"/>
  <c r="M26" i="33"/>
  <c r="L26" i="33"/>
  <c r="N25" i="33"/>
  <c r="M25" i="33"/>
  <c r="L25" i="33"/>
  <c r="N24" i="33"/>
  <c r="M24" i="33"/>
  <c r="L24" i="33"/>
  <c r="N19" i="33"/>
  <c r="M19" i="33"/>
  <c r="L19" i="33"/>
  <c r="N18" i="33"/>
  <c r="M18" i="33"/>
  <c r="L18" i="33"/>
  <c r="N17" i="33"/>
  <c r="M17" i="33"/>
  <c r="L17" i="33"/>
  <c r="N16" i="33"/>
  <c r="M16" i="33"/>
  <c r="L16" i="33"/>
  <c r="N15" i="33"/>
  <c r="M15" i="33"/>
  <c r="L15" i="33"/>
  <c r="N10" i="33"/>
  <c r="M10" i="33"/>
  <c r="L10" i="33"/>
  <c r="N9" i="33"/>
  <c r="M9" i="33"/>
  <c r="L9" i="33"/>
  <c r="N8" i="33"/>
  <c r="M8" i="33"/>
  <c r="L8" i="33"/>
  <c r="N7" i="33"/>
  <c r="M7" i="33"/>
  <c r="L7" i="33"/>
  <c r="N6" i="33"/>
  <c r="M6" i="33"/>
  <c r="L6" i="33"/>
  <c r="P9" i="33" l="1"/>
  <c r="Q24" i="33"/>
  <c r="Q28" i="33"/>
  <c r="P25" i="33"/>
  <c r="P6" i="33"/>
  <c r="S6" i="33" s="1"/>
  <c r="U6" i="33" s="1"/>
  <c r="P8" i="33"/>
  <c r="S8" i="33" s="1"/>
  <c r="U8" i="33" s="1"/>
  <c r="Q15" i="33"/>
  <c r="Q9" i="33"/>
  <c r="P10" i="33"/>
  <c r="S10" i="33" s="1"/>
  <c r="U10" i="33" s="1"/>
  <c r="P34" i="33"/>
  <c r="Q37" i="33"/>
  <c r="P17" i="33"/>
  <c r="Q19" i="33"/>
  <c r="Q35" i="33"/>
  <c r="P36" i="33"/>
  <c r="P16" i="33"/>
  <c r="Q7" i="33"/>
  <c r="Q16" i="33"/>
  <c r="Q25" i="33"/>
  <c r="P26" i="33"/>
  <c r="P27" i="33"/>
  <c r="P28" i="33"/>
  <c r="P33" i="33"/>
  <c r="S33" i="33" s="1"/>
  <c r="U33" i="33" s="1"/>
  <c r="Q34" i="33"/>
  <c r="Q36" i="33"/>
  <c r="P37" i="33"/>
  <c r="Q8" i="33"/>
  <c r="Q17" i="33"/>
  <c r="P18" i="33"/>
  <c r="P24" i="33"/>
  <c r="S24" i="33" s="1"/>
  <c r="U24" i="33" s="1"/>
  <c r="Q27" i="33"/>
  <c r="P35" i="33"/>
  <c r="S35" i="33" s="1"/>
  <c r="U35" i="33" s="1"/>
  <c r="S9" i="33"/>
  <c r="U9" i="33" s="1"/>
  <c r="Q6" i="33"/>
  <c r="Q10" i="33"/>
  <c r="Q26" i="33"/>
  <c r="P7" i="33"/>
  <c r="P15" i="33"/>
  <c r="S15" i="33" s="1"/>
  <c r="U15" i="33" s="1"/>
  <c r="P19" i="33"/>
  <c r="Q18" i="33"/>
  <c r="S7" i="33" l="1"/>
  <c r="U7" i="33" s="1"/>
  <c r="S25" i="33"/>
  <c r="U25" i="33" s="1"/>
  <c r="S26" i="33"/>
  <c r="U26" i="33" s="1"/>
  <c r="S34" i="33"/>
  <c r="U34" i="33" s="1"/>
  <c r="S27" i="33"/>
  <c r="U27" i="33" s="1"/>
  <c r="S37" i="33"/>
  <c r="U37" i="33" s="1"/>
  <c r="S28" i="33"/>
  <c r="U28" i="33" s="1"/>
  <c r="S36" i="33"/>
  <c r="U36" i="33" s="1"/>
  <c r="S18" i="33"/>
  <c r="U18" i="33" s="1"/>
  <c r="S16" i="33"/>
  <c r="U16" i="33" s="1"/>
  <c r="S19" i="33"/>
  <c r="U19" i="33" s="1"/>
  <c r="S17" i="33"/>
  <c r="U17" i="33" s="1"/>
  <c r="L27" i="32" l="1"/>
  <c r="K27" i="32"/>
  <c r="J27" i="32"/>
  <c r="I27" i="32"/>
  <c r="H27" i="32"/>
  <c r="L28" i="32"/>
  <c r="K28" i="32"/>
  <c r="J28" i="32"/>
  <c r="I28" i="32"/>
  <c r="H28" i="32"/>
  <c r="L26" i="32"/>
  <c r="K26" i="32"/>
  <c r="J26" i="32"/>
  <c r="I26" i="32"/>
  <c r="H26" i="32"/>
  <c r="L25" i="32"/>
  <c r="K25" i="32"/>
  <c r="J25" i="32"/>
  <c r="I25" i="32"/>
  <c r="H25" i="32"/>
  <c r="L24" i="32"/>
  <c r="K24" i="32"/>
  <c r="J24" i="32"/>
  <c r="I24" i="32"/>
  <c r="H24" i="32"/>
  <c r="L23" i="32"/>
  <c r="K23" i="32"/>
  <c r="J23" i="32"/>
  <c r="I23" i="32"/>
  <c r="H23" i="32"/>
  <c r="L22" i="32"/>
  <c r="K22" i="32"/>
  <c r="J22" i="32"/>
  <c r="I22" i="32"/>
  <c r="H22" i="32"/>
  <c r="L21" i="32"/>
  <c r="K21" i="32"/>
  <c r="J21" i="32"/>
  <c r="I21" i="32"/>
  <c r="H21" i="32"/>
  <c r="L20" i="32"/>
  <c r="K20" i="32"/>
  <c r="J20" i="32"/>
  <c r="I20" i="32"/>
  <c r="H20" i="32"/>
  <c r="L19" i="32"/>
  <c r="K19" i="32"/>
  <c r="J19" i="32"/>
  <c r="I19" i="32"/>
  <c r="H19" i="32"/>
  <c r="L18" i="32"/>
  <c r="K18" i="32"/>
  <c r="J18" i="32"/>
  <c r="I18" i="32"/>
  <c r="H18" i="32"/>
  <c r="E12" i="32"/>
  <c r="E11" i="32"/>
  <c r="E10" i="32"/>
  <c r="E9" i="32"/>
  <c r="E8" i="32"/>
  <c r="E7" i="32"/>
  <c r="E6" i="32"/>
  <c r="E5" i="32"/>
  <c r="L27" i="30"/>
  <c r="K27" i="30"/>
  <c r="J27" i="30"/>
  <c r="I27" i="30"/>
  <c r="H27" i="30"/>
  <c r="L26" i="30"/>
  <c r="K26" i="30"/>
  <c r="J26" i="30"/>
  <c r="I26" i="30"/>
  <c r="H26" i="30"/>
  <c r="L25" i="30"/>
  <c r="K25" i="30"/>
  <c r="J25" i="30"/>
  <c r="I25" i="30"/>
  <c r="H25" i="30"/>
  <c r="L24" i="30"/>
  <c r="K24" i="30"/>
  <c r="J24" i="30"/>
  <c r="I24" i="30"/>
  <c r="H24" i="30"/>
  <c r="L23" i="30"/>
  <c r="K23" i="30"/>
  <c r="J23" i="30"/>
  <c r="I23" i="30"/>
  <c r="H23" i="30"/>
  <c r="L22" i="30"/>
  <c r="K22" i="30"/>
  <c r="J22" i="30"/>
  <c r="I22" i="30"/>
  <c r="H22" i="30"/>
  <c r="L21" i="30"/>
  <c r="K21" i="30"/>
  <c r="J21" i="30"/>
  <c r="I21" i="30"/>
  <c r="H21" i="30"/>
  <c r="L20" i="30"/>
  <c r="K20" i="30"/>
  <c r="J20" i="30"/>
  <c r="I20" i="30"/>
  <c r="H20" i="30"/>
  <c r="L19" i="30"/>
  <c r="K19" i="30"/>
  <c r="J19" i="30"/>
  <c r="I19" i="30"/>
  <c r="H19" i="30"/>
  <c r="L18" i="30"/>
  <c r="K18" i="30"/>
  <c r="J18" i="30"/>
  <c r="I18" i="30"/>
  <c r="H18" i="30"/>
  <c r="L17" i="30"/>
  <c r="K17" i="30"/>
  <c r="J17" i="30"/>
  <c r="I17" i="30"/>
  <c r="H17" i="30"/>
  <c r="E12" i="30"/>
  <c r="E11" i="30"/>
  <c r="E10" i="30"/>
  <c r="E9" i="30"/>
  <c r="E8" i="30"/>
  <c r="E7" i="30"/>
  <c r="E6" i="30"/>
  <c r="E5" i="30"/>
  <c r="L36" i="29"/>
  <c r="K36" i="29"/>
  <c r="J36" i="29"/>
  <c r="I36" i="29"/>
  <c r="H36" i="29"/>
  <c r="L35" i="29"/>
  <c r="K35" i="29"/>
  <c r="J35" i="29"/>
  <c r="I35" i="29"/>
  <c r="H35" i="29"/>
  <c r="L34" i="29"/>
  <c r="K34" i="29"/>
  <c r="J34" i="29"/>
  <c r="I34" i="29"/>
  <c r="H34" i="29"/>
  <c r="L33" i="29"/>
  <c r="K33" i="29"/>
  <c r="J33" i="29"/>
  <c r="I33" i="29"/>
  <c r="H33" i="29"/>
  <c r="L28" i="29"/>
  <c r="K28" i="29"/>
  <c r="J28" i="29"/>
  <c r="I28" i="29"/>
  <c r="H28" i="29"/>
  <c r="L27" i="29"/>
  <c r="K27" i="29"/>
  <c r="J27" i="29"/>
  <c r="I27" i="29"/>
  <c r="H27" i="29"/>
  <c r="L26" i="29"/>
  <c r="K26" i="29"/>
  <c r="J26" i="29"/>
  <c r="I26" i="29"/>
  <c r="H26" i="29"/>
  <c r="L25" i="29"/>
  <c r="K25" i="29"/>
  <c r="J25" i="29"/>
  <c r="I25" i="29"/>
  <c r="H25" i="29"/>
  <c r="L20" i="29"/>
  <c r="K20" i="29"/>
  <c r="J20" i="29"/>
  <c r="I20" i="29"/>
  <c r="H20" i="29"/>
  <c r="L19" i="29"/>
  <c r="K19" i="29"/>
  <c r="J19" i="29"/>
  <c r="I19" i="29"/>
  <c r="H19" i="29"/>
  <c r="L18" i="29"/>
  <c r="K18" i="29"/>
  <c r="J18" i="29"/>
  <c r="I18" i="29"/>
  <c r="H18" i="29"/>
  <c r="L17" i="29"/>
  <c r="K17" i="29"/>
  <c r="J17" i="29"/>
  <c r="I17" i="29"/>
  <c r="H17" i="29"/>
  <c r="E12" i="29"/>
  <c r="E11" i="29"/>
  <c r="E10" i="29"/>
  <c r="E9" i="29"/>
  <c r="E8" i="29"/>
  <c r="E7" i="29"/>
  <c r="E6" i="29"/>
  <c r="E5" i="29"/>
  <c r="AC22" i="28"/>
  <c r="AB22" i="28"/>
  <c r="AA22" i="28"/>
  <c r="Z22" i="28"/>
  <c r="Y22" i="28"/>
  <c r="X22" i="28"/>
  <c r="W22" i="28"/>
  <c r="V22" i="28"/>
  <c r="U22" i="28"/>
  <c r="T22" i="28"/>
  <c r="S22" i="28"/>
  <c r="R22" i="28"/>
  <c r="Q22" i="28"/>
  <c r="M22" i="28"/>
  <c r="M28" i="28" s="1"/>
  <c r="M35" i="28" s="1"/>
  <c r="M41" i="28" s="1"/>
  <c r="L22" i="28"/>
  <c r="L28" i="28" s="1"/>
  <c r="L35" i="28" s="1"/>
  <c r="L41" i="28" s="1"/>
  <c r="K22" i="28"/>
  <c r="K28" i="28" s="1"/>
  <c r="K35" i="28" s="1"/>
  <c r="K41" i="28" s="1"/>
  <c r="J22" i="28"/>
  <c r="J28" i="28" s="1"/>
  <c r="J35" i="28" s="1"/>
  <c r="J41" i="28" s="1"/>
  <c r="I22" i="28"/>
  <c r="I28" i="28" s="1"/>
  <c r="I35" i="28" s="1"/>
  <c r="I41" i="28" s="1"/>
  <c r="H22" i="28"/>
  <c r="H28" i="28" s="1"/>
  <c r="H35" i="28" s="1"/>
  <c r="H41" i="28" s="1"/>
  <c r="G22" i="28"/>
  <c r="G28" i="28" s="1"/>
  <c r="G35" i="28" s="1"/>
  <c r="G41" i="28" s="1"/>
  <c r="F22" i="28"/>
  <c r="F28" i="28" s="1"/>
  <c r="F35" i="28" s="1"/>
  <c r="F41" i="28" s="1"/>
  <c r="E22" i="28"/>
  <c r="E28" i="28" s="1"/>
  <c r="E35" i="28" s="1"/>
  <c r="E41" i="28" s="1"/>
  <c r="D22" i="28"/>
  <c r="D28" i="28" s="1"/>
  <c r="D35" i="28" s="1"/>
  <c r="D41" i="28" s="1"/>
  <c r="C22" i="28"/>
  <c r="C28" i="28" s="1"/>
  <c r="C35" i="28" s="1"/>
  <c r="C41" i="28" s="1"/>
  <c r="B22" i="28"/>
  <c r="B28" i="28" s="1"/>
  <c r="B35" i="28" s="1"/>
  <c r="B41" i="28" s="1"/>
  <c r="AC21" i="28"/>
  <c r="AB21" i="28"/>
  <c r="AA21" i="28"/>
  <c r="Z21" i="28"/>
  <c r="Y21" i="28"/>
  <c r="X21" i="28"/>
  <c r="W21" i="28"/>
  <c r="V21" i="28"/>
  <c r="U21" i="28"/>
  <c r="T21" i="28"/>
  <c r="S21" i="28"/>
  <c r="R21" i="28"/>
  <c r="Q21" i="28"/>
  <c r="M21" i="28"/>
  <c r="M27" i="28" s="1"/>
  <c r="M34" i="28" s="1"/>
  <c r="M40" i="28" s="1"/>
  <c r="L21" i="28"/>
  <c r="L27" i="28" s="1"/>
  <c r="L34" i="28" s="1"/>
  <c r="L40" i="28" s="1"/>
  <c r="K21" i="28"/>
  <c r="K27" i="28" s="1"/>
  <c r="K34" i="28" s="1"/>
  <c r="K40" i="28" s="1"/>
  <c r="J21" i="28"/>
  <c r="J27" i="28" s="1"/>
  <c r="J34" i="28" s="1"/>
  <c r="J40" i="28" s="1"/>
  <c r="I21" i="28"/>
  <c r="I27" i="28" s="1"/>
  <c r="I34" i="28" s="1"/>
  <c r="I40" i="28" s="1"/>
  <c r="H21" i="28"/>
  <c r="H27" i="28" s="1"/>
  <c r="H34" i="28" s="1"/>
  <c r="H40" i="28" s="1"/>
  <c r="G21" i="28"/>
  <c r="G27" i="28" s="1"/>
  <c r="G34" i="28" s="1"/>
  <c r="G40" i="28" s="1"/>
  <c r="F21" i="28"/>
  <c r="F27" i="28" s="1"/>
  <c r="F34" i="28" s="1"/>
  <c r="F40" i="28" s="1"/>
  <c r="E21" i="28"/>
  <c r="E27" i="28" s="1"/>
  <c r="E34" i="28" s="1"/>
  <c r="E40" i="28" s="1"/>
  <c r="D21" i="28"/>
  <c r="D27" i="28" s="1"/>
  <c r="D34" i="28" s="1"/>
  <c r="D40" i="28" s="1"/>
  <c r="C21" i="28"/>
  <c r="C27" i="28" s="1"/>
  <c r="C34" i="28" s="1"/>
  <c r="C40" i="28" s="1"/>
  <c r="B21" i="28"/>
  <c r="B27" i="28" s="1"/>
  <c r="B34" i="28" s="1"/>
  <c r="B40" i="28" s="1"/>
  <c r="AC20" i="28"/>
  <c r="AB20" i="28"/>
  <c r="AA20" i="28"/>
  <c r="Z20" i="28"/>
  <c r="Y20" i="28"/>
  <c r="X20" i="28"/>
  <c r="W20" i="28"/>
  <c r="V20" i="28"/>
  <c r="U20" i="28"/>
  <c r="T20" i="28"/>
  <c r="S20" i="28"/>
  <c r="R20" i="28"/>
  <c r="Q20" i="28"/>
  <c r="M20" i="28"/>
  <c r="M26" i="28" s="1"/>
  <c r="M33" i="28" s="1"/>
  <c r="M39" i="28" s="1"/>
  <c r="L20" i="28"/>
  <c r="L26" i="28" s="1"/>
  <c r="L33" i="28" s="1"/>
  <c r="L39" i="28" s="1"/>
  <c r="K20" i="28"/>
  <c r="K26" i="28" s="1"/>
  <c r="K33" i="28" s="1"/>
  <c r="K39" i="28" s="1"/>
  <c r="J20" i="28"/>
  <c r="J26" i="28" s="1"/>
  <c r="J33" i="28" s="1"/>
  <c r="J39" i="28" s="1"/>
  <c r="I20" i="28"/>
  <c r="I26" i="28" s="1"/>
  <c r="I33" i="28" s="1"/>
  <c r="I39" i="28" s="1"/>
  <c r="H20" i="28"/>
  <c r="H26" i="28" s="1"/>
  <c r="H33" i="28" s="1"/>
  <c r="H39" i="28" s="1"/>
  <c r="G20" i="28"/>
  <c r="G26" i="28" s="1"/>
  <c r="G33" i="28" s="1"/>
  <c r="G39" i="28" s="1"/>
  <c r="F20" i="28"/>
  <c r="F26" i="28" s="1"/>
  <c r="F33" i="28" s="1"/>
  <c r="F39" i="28" s="1"/>
  <c r="E20" i="28"/>
  <c r="E26" i="28" s="1"/>
  <c r="E33" i="28" s="1"/>
  <c r="E39" i="28" s="1"/>
  <c r="D20" i="28"/>
  <c r="D26" i="28" s="1"/>
  <c r="D33" i="28" s="1"/>
  <c r="D39" i="28" s="1"/>
  <c r="C20" i="28"/>
  <c r="C26" i="28" s="1"/>
  <c r="C33" i="28" s="1"/>
  <c r="C39" i="28" s="1"/>
  <c r="B20" i="28"/>
  <c r="B26" i="28" s="1"/>
  <c r="B33" i="28" s="1"/>
  <c r="B39" i="28" s="1"/>
  <c r="AC19" i="28"/>
  <c r="AB19" i="28"/>
  <c r="AA19" i="28"/>
  <c r="Z19" i="28"/>
  <c r="Y19" i="28"/>
  <c r="X19" i="28"/>
  <c r="W19" i="28"/>
  <c r="V19" i="28"/>
  <c r="U19" i="28"/>
  <c r="T19" i="28"/>
  <c r="S19" i="28"/>
  <c r="R19" i="28"/>
  <c r="Q19" i="28"/>
  <c r="M19" i="28"/>
  <c r="M25" i="28" s="1"/>
  <c r="M32" i="28" s="1"/>
  <c r="M38" i="28" s="1"/>
  <c r="L19" i="28"/>
  <c r="L25" i="28" s="1"/>
  <c r="L32" i="28" s="1"/>
  <c r="L38" i="28" s="1"/>
  <c r="K19" i="28"/>
  <c r="K25" i="28" s="1"/>
  <c r="K32" i="28" s="1"/>
  <c r="K38" i="28" s="1"/>
  <c r="J19" i="28"/>
  <c r="J25" i="28" s="1"/>
  <c r="J32" i="28" s="1"/>
  <c r="J38" i="28" s="1"/>
  <c r="I19" i="28"/>
  <c r="I25" i="28" s="1"/>
  <c r="I32" i="28" s="1"/>
  <c r="I38" i="28" s="1"/>
  <c r="H19" i="28"/>
  <c r="H25" i="28" s="1"/>
  <c r="H32" i="28" s="1"/>
  <c r="H38" i="28" s="1"/>
  <c r="G19" i="28"/>
  <c r="G25" i="28" s="1"/>
  <c r="G32" i="28" s="1"/>
  <c r="G38" i="28" s="1"/>
  <c r="F19" i="28"/>
  <c r="F25" i="28" s="1"/>
  <c r="F32" i="28" s="1"/>
  <c r="F38" i="28" s="1"/>
  <c r="E19" i="28"/>
  <c r="E25" i="28" s="1"/>
  <c r="E32" i="28" s="1"/>
  <c r="E38" i="28" s="1"/>
  <c r="D19" i="28"/>
  <c r="D25" i="28" s="1"/>
  <c r="D32" i="28" s="1"/>
  <c r="D38" i="28" s="1"/>
  <c r="C19" i="28"/>
  <c r="C25" i="28" s="1"/>
  <c r="C32" i="28" s="1"/>
  <c r="C38" i="28" s="1"/>
  <c r="B19" i="28"/>
  <c r="B25" i="28" s="1"/>
  <c r="B32" i="28" s="1"/>
  <c r="B38" i="28" s="1"/>
  <c r="P35" i="26" l="1"/>
  <c r="N35" i="26"/>
  <c r="L35" i="26"/>
  <c r="K35" i="26"/>
  <c r="P34" i="26"/>
  <c r="N34" i="26"/>
  <c r="L34" i="26"/>
  <c r="K34" i="26"/>
  <c r="P33" i="26"/>
  <c r="N33" i="26"/>
  <c r="L33" i="26"/>
  <c r="K33" i="26"/>
  <c r="P32" i="26"/>
  <c r="N32" i="26"/>
  <c r="L32" i="26"/>
  <c r="K32" i="26"/>
  <c r="P31" i="26"/>
  <c r="N31" i="26"/>
  <c r="L31" i="26"/>
  <c r="K31" i="26"/>
  <c r="P30" i="26"/>
  <c r="N30" i="26"/>
  <c r="L30" i="26"/>
  <c r="K30" i="26"/>
  <c r="P29" i="26"/>
  <c r="N29" i="26"/>
  <c r="L29" i="26"/>
  <c r="K29" i="26"/>
  <c r="P28" i="26"/>
  <c r="N28" i="26"/>
  <c r="L28" i="26"/>
  <c r="K28" i="26"/>
  <c r="P18" i="26"/>
  <c r="N18" i="26"/>
  <c r="L18" i="26"/>
  <c r="K18" i="26"/>
  <c r="P17" i="26"/>
  <c r="N17" i="26"/>
  <c r="L17" i="26"/>
  <c r="K17" i="26"/>
  <c r="P16" i="26"/>
  <c r="N16" i="26"/>
  <c r="L16" i="26"/>
  <c r="K16" i="26"/>
  <c r="P15" i="26"/>
  <c r="N15" i="26"/>
  <c r="L15" i="26"/>
  <c r="K15" i="26"/>
  <c r="P14" i="26"/>
  <c r="N14" i="26"/>
  <c r="L14" i="26"/>
  <c r="K14" i="26"/>
  <c r="P13" i="26"/>
  <c r="N13" i="26"/>
  <c r="L13" i="26"/>
  <c r="K13" i="26"/>
  <c r="P12" i="26"/>
  <c r="N12" i="26"/>
  <c r="L12" i="26"/>
  <c r="K12" i="26"/>
  <c r="P11" i="26"/>
  <c r="N11" i="26"/>
  <c r="L11" i="26"/>
  <c r="K11" i="26"/>
  <c r="M64" i="24" l="1"/>
  <c r="L64" i="24"/>
  <c r="K64" i="24"/>
  <c r="O64" i="24" s="1"/>
  <c r="M63" i="24"/>
  <c r="L63" i="24"/>
  <c r="K63" i="24"/>
  <c r="M59" i="24"/>
  <c r="P59" i="24" s="1"/>
  <c r="L59" i="24"/>
  <c r="K59" i="24"/>
  <c r="M58" i="24"/>
  <c r="P58" i="24" s="1"/>
  <c r="L58" i="24"/>
  <c r="K58" i="24"/>
  <c r="M54" i="24"/>
  <c r="L54" i="24"/>
  <c r="K54" i="24"/>
  <c r="M53" i="24"/>
  <c r="L53" i="24"/>
  <c r="K53" i="24"/>
  <c r="M49" i="24"/>
  <c r="L49" i="24"/>
  <c r="K49" i="24"/>
  <c r="O49" i="24" s="1"/>
  <c r="R49" i="24" s="1"/>
  <c r="T49" i="24" s="1"/>
  <c r="V49" i="24" s="1"/>
  <c r="M48" i="24"/>
  <c r="L48" i="24"/>
  <c r="K48" i="24"/>
  <c r="O48" i="24" s="1"/>
  <c r="R48" i="24" s="1"/>
  <c r="T48" i="24" s="1"/>
  <c r="V48" i="24" s="1"/>
  <c r="M44" i="24"/>
  <c r="L44" i="24"/>
  <c r="K44" i="24"/>
  <c r="O44" i="24" s="1"/>
  <c r="M43" i="24"/>
  <c r="L43" i="24"/>
  <c r="K43" i="24"/>
  <c r="O43" i="24" s="1"/>
  <c r="R43" i="24" s="1"/>
  <c r="T43" i="24" s="1"/>
  <c r="V43" i="24" s="1"/>
  <c r="M39" i="24"/>
  <c r="L39" i="24"/>
  <c r="K39" i="24"/>
  <c r="O39" i="24" s="1"/>
  <c r="M38" i="24"/>
  <c r="L38" i="24"/>
  <c r="K38" i="24"/>
  <c r="M34" i="24"/>
  <c r="P34" i="24" s="1"/>
  <c r="L34" i="24"/>
  <c r="K34" i="24"/>
  <c r="M33" i="24"/>
  <c r="P33" i="24" s="1"/>
  <c r="L33" i="24"/>
  <c r="K33" i="24"/>
  <c r="M29" i="24"/>
  <c r="L29" i="24"/>
  <c r="K29" i="24"/>
  <c r="M28" i="24"/>
  <c r="L28" i="24"/>
  <c r="K28" i="24"/>
  <c r="M24" i="24"/>
  <c r="L24" i="24"/>
  <c r="K24" i="24"/>
  <c r="O24" i="24" s="1"/>
  <c r="M23" i="24"/>
  <c r="L23" i="24"/>
  <c r="K23" i="24"/>
  <c r="O23" i="24" s="1"/>
  <c r="R23" i="24" s="1"/>
  <c r="T23" i="24" s="1"/>
  <c r="V23" i="24" s="1"/>
  <c r="M19" i="24"/>
  <c r="L19" i="24"/>
  <c r="K19" i="24"/>
  <c r="O19" i="24" s="1"/>
  <c r="M18" i="24"/>
  <c r="L18" i="24"/>
  <c r="K18" i="24"/>
  <c r="M14" i="24"/>
  <c r="P14" i="24" s="1"/>
  <c r="L14" i="24"/>
  <c r="K14" i="24"/>
  <c r="M13" i="24"/>
  <c r="P13" i="24" s="1"/>
  <c r="L13" i="24"/>
  <c r="K13" i="24"/>
  <c r="M10" i="24"/>
  <c r="L10" i="24"/>
  <c r="K10" i="24"/>
  <c r="M9" i="24"/>
  <c r="L9" i="24"/>
  <c r="K9" i="24"/>
  <c r="M6" i="24"/>
  <c r="L6" i="24"/>
  <c r="K6" i="24"/>
  <c r="O6" i="24" s="1"/>
  <c r="M5" i="24"/>
  <c r="L5" i="24"/>
  <c r="K5" i="24"/>
  <c r="O5" i="24" s="1"/>
  <c r="R5" i="24" s="1"/>
  <c r="T5" i="24" s="1"/>
  <c r="V5" i="24" s="1"/>
  <c r="P53" i="24" l="1"/>
  <c r="O13" i="24"/>
  <c r="R13" i="24" s="1"/>
  <c r="T13" i="24" s="1"/>
  <c r="V13" i="24" s="1"/>
  <c r="O14" i="24"/>
  <c r="R14" i="24" s="1"/>
  <c r="T14" i="24" s="1"/>
  <c r="V14" i="24" s="1"/>
  <c r="O33" i="24"/>
  <c r="R33" i="24" s="1"/>
  <c r="T33" i="24" s="1"/>
  <c r="V33" i="24" s="1"/>
  <c r="O34" i="24"/>
  <c r="O58" i="24"/>
  <c r="R58" i="24" s="1"/>
  <c r="T58" i="24" s="1"/>
  <c r="V58" i="24" s="1"/>
  <c r="O59" i="24"/>
  <c r="R59" i="24" s="1"/>
  <c r="T59" i="24" s="1"/>
  <c r="V59" i="24" s="1"/>
  <c r="R6" i="24"/>
  <c r="T6" i="24" s="1"/>
  <c r="V6" i="24" s="1"/>
  <c r="R24" i="24"/>
  <c r="T24" i="24" s="1"/>
  <c r="V24" i="24" s="1"/>
  <c r="R44" i="24"/>
  <c r="T44" i="24" s="1"/>
  <c r="V44" i="24" s="1"/>
  <c r="P9" i="24"/>
  <c r="P28" i="24"/>
  <c r="P5" i="24"/>
  <c r="P6" i="24"/>
  <c r="O10" i="24"/>
  <c r="P18" i="24"/>
  <c r="P23" i="24"/>
  <c r="P24" i="24"/>
  <c r="O29" i="24"/>
  <c r="P38" i="24"/>
  <c r="P43" i="24"/>
  <c r="P44" i="24"/>
  <c r="P48" i="24"/>
  <c r="P49" i="24"/>
  <c r="O54" i="24"/>
  <c r="P63" i="24"/>
  <c r="R19" i="24"/>
  <c r="T19" i="24" s="1"/>
  <c r="V19" i="24" s="1"/>
  <c r="O9" i="24"/>
  <c r="R9" i="24" s="1"/>
  <c r="T9" i="24" s="1"/>
  <c r="V9" i="24" s="1"/>
  <c r="P10" i="24"/>
  <c r="O18" i="24"/>
  <c r="R18" i="24" s="1"/>
  <c r="T18" i="24" s="1"/>
  <c r="V18" i="24" s="1"/>
  <c r="P19" i="24"/>
  <c r="O28" i="24"/>
  <c r="R28" i="24" s="1"/>
  <c r="T28" i="24" s="1"/>
  <c r="V28" i="24" s="1"/>
  <c r="P29" i="24"/>
  <c r="O38" i="24"/>
  <c r="R38" i="24" s="1"/>
  <c r="T38" i="24" s="1"/>
  <c r="V38" i="24" s="1"/>
  <c r="P39" i="24"/>
  <c r="O53" i="24"/>
  <c r="R53" i="24" s="1"/>
  <c r="T53" i="24" s="1"/>
  <c r="V53" i="24" s="1"/>
  <c r="P54" i="24"/>
  <c r="O63" i="24"/>
  <c r="R63" i="24" s="1"/>
  <c r="T63" i="24" s="1"/>
  <c r="V63" i="24" s="1"/>
  <c r="P64" i="24"/>
  <c r="R34" i="24" l="1"/>
  <c r="T34" i="24" s="1"/>
  <c r="V34" i="24" s="1"/>
  <c r="R64" i="24"/>
  <c r="T64" i="24" s="1"/>
  <c r="V64" i="24" s="1"/>
  <c r="R54" i="24"/>
  <c r="T54" i="24" s="1"/>
  <c r="V54" i="24" s="1"/>
  <c r="R29" i="24"/>
  <c r="T29" i="24" s="1"/>
  <c r="V29" i="24" s="1"/>
  <c r="R39" i="24"/>
  <c r="T39" i="24" s="1"/>
  <c r="V39" i="24" s="1"/>
  <c r="R10" i="24"/>
  <c r="T10" i="24" s="1"/>
  <c r="V10" i="24" s="1"/>
  <c r="N56" i="22" l="1"/>
  <c r="L56" i="22"/>
  <c r="K56" i="22"/>
  <c r="J56" i="22"/>
  <c r="O56" i="22" s="1"/>
  <c r="L55" i="22"/>
  <c r="N55" i="22" s="1"/>
  <c r="K55" i="22"/>
  <c r="J55" i="22"/>
  <c r="O55" i="22" s="1"/>
  <c r="L54" i="22"/>
  <c r="K54" i="22"/>
  <c r="N54" i="22" s="1"/>
  <c r="J54" i="22"/>
  <c r="O54" i="22" s="1"/>
  <c r="L53" i="22"/>
  <c r="K53" i="22"/>
  <c r="J53" i="22"/>
  <c r="O53" i="22" s="1"/>
  <c r="N51" i="22"/>
  <c r="L51" i="22"/>
  <c r="K51" i="22"/>
  <c r="J51" i="22"/>
  <c r="O51" i="22" s="1"/>
  <c r="L50" i="22"/>
  <c r="N50" i="22" s="1"/>
  <c r="K50" i="22"/>
  <c r="J50" i="22"/>
  <c r="O50" i="22" s="1"/>
  <c r="L49" i="22"/>
  <c r="K49" i="22"/>
  <c r="N49" i="22" s="1"/>
  <c r="J49" i="22"/>
  <c r="O49" i="22" s="1"/>
  <c r="L48" i="22"/>
  <c r="K48" i="22"/>
  <c r="J48" i="22"/>
  <c r="O48" i="22" s="1"/>
  <c r="N45" i="22"/>
  <c r="L45" i="22"/>
  <c r="K45" i="22"/>
  <c r="J45" i="22"/>
  <c r="O45" i="22" s="1"/>
  <c r="L44" i="22"/>
  <c r="N44" i="22" s="1"/>
  <c r="K44" i="22"/>
  <c r="J44" i="22"/>
  <c r="O44" i="22" s="1"/>
  <c r="L43" i="22"/>
  <c r="K43" i="22"/>
  <c r="N43" i="22" s="1"/>
  <c r="J43" i="22"/>
  <c r="O43" i="22" s="1"/>
  <c r="L42" i="22"/>
  <c r="K42" i="22"/>
  <c r="J42" i="22"/>
  <c r="O42" i="22" s="1"/>
  <c r="L38" i="22"/>
  <c r="K38" i="22"/>
  <c r="J38" i="22"/>
  <c r="O38" i="22" s="1"/>
  <c r="L37" i="22"/>
  <c r="N37" i="22" s="1"/>
  <c r="K37" i="22"/>
  <c r="J37" i="22"/>
  <c r="L36" i="22"/>
  <c r="K36" i="22"/>
  <c r="J36" i="22"/>
  <c r="O35" i="22"/>
  <c r="L35" i="22"/>
  <c r="K35" i="22"/>
  <c r="J35" i="22"/>
  <c r="L33" i="22"/>
  <c r="K33" i="22"/>
  <c r="J33" i="22"/>
  <c r="N33" i="22" s="1"/>
  <c r="L32" i="22"/>
  <c r="N32" i="22" s="1"/>
  <c r="K32" i="22"/>
  <c r="J32" i="22"/>
  <c r="L31" i="22"/>
  <c r="K31" i="22"/>
  <c r="J31" i="22"/>
  <c r="O30" i="22"/>
  <c r="L30" i="22"/>
  <c r="K30" i="22"/>
  <c r="J30" i="22"/>
  <c r="L27" i="22"/>
  <c r="K27" i="22"/>
  <c r="J27" i="22"/>
  <c r="N27" i="22" s="1"/>
  <c r="L26" i="22"/>
  <c r="N26" i="22" s="1"/>
  <c r="K26" i="22"/>
  <c r="J26" i="22"/>
  <c r="L25" i="22"/>
  <c r="K25" i="22"/>
  <c r="J25" i="22"/>
  <c r="O24" i="22"/>
  <c r="L24" i="22"/>
  <c r="K24" i="22"/>
  <c r="J24" i="22"/>
  <c r="L20" i="22"/>
  <c r="K20" i="22"/>
  <c r="J20" i="22"/>
  <c r="N20" i="22" s="1"/>
  <c r="L19" i="22"/>
  <c r="N19" i="22" s="1"/>
  <c r="K19" i="22"/>
  <c r="J19" i="22"/>
  <c r="L18" i="22"/>
  <c r="K18" i="22"/>
  <c r="J18" i="22"/>
  <c r="O17" i="22"/>
  <c r="L17" i="22"/>
  <c r="K17" i="22"/>
  <c r="J17" i="22"/>
  <c r="L15" i="22"/>
  <c r="K15" i="22"/>
  <c r="J15" i="22"/>
  <c r="N15" i="22" s="1"/>
  <c r="L14" i="22"/>
  <c r="N14" i="22" s="1"/>
  <c r="K14" i="22"/>
  <c r="J14" i="22"/>
  <c r="L13" i="22"/>
  <c r="K13" i="22"/>
  <c r="J13" i="22"/>
  <c r="O12" i="22"/>
  <c r="L12" i="22"/>
  <c r="K12" i="22"/>
  <c r="J12" i="22"/>
  <c r="L9" i="22"/>
  <c r="K9" i="22"/>
  <c r="J9" i="22"/>
  <c r="N9" i="22" s="1"/>
  <c r="L8" i="22"/>
  <c r="N8" i="22" s="1"/>
  <c r="K8" i="22"/>
  <c r="J8" i="22"/>
  <c r="L7" i="22"/>
  <c r="K7" i="22"/>
  <c r="J7" i="22"/>
  <c r="O6" i="22"/>
  <c r="L6" i="22"/>
  <c r="K6" i="22"/>
  <c r="J6" i="22"/>
  <c r="O15" i="22" l="1"/>
  <c r="O7" i="22"/>
  <c r="O13" i="22"/>
  <c r="O18" i="22"/>
  <c r="O25" i="22"/>
  <c r="O31" i="22"/>
  <c r="O36" i="22"/>
  <c r="N42" i="22"/>
  <c r="Q42" i="22" s="1"/>
  <c r="S42" i="22" s="1"/>
  <c r="Q44" i="22"/>
  <c r="S44" i="22" s="1"/>
  <c r="N48" i="22"/>
  <c r="Q48" i="22" s="1"/>
  <c r="S48" i="22" s="1"/>
  <c r="N53" i="22"/>
  <c r="Q53" i="22" s="1"/>
  <c r="S53" i="22" s="1"/>
  <c r="Q55" i="22"/>
  <c r="S55" i="22" s="1"/>
  <c r="O9" i="22"/>
  <c r="O20" i="22"/>
  <c r="O27" i="22"/>
  <c r="O33" i="22"/>
  <c r="N6" i="22"/>
  <c r="Q6" i="22" s="1"/>
  <c r="S6" i="22" s="1"/>
  <c r="N7" i="22"/>
  <c r="O8" i="22"/>
  <c r="N12" i="22"/>
  <c r="Q12" i="22" s="1"/>
  <c r="S12" i="22" s="1"/>
  <c r="N13" i="22"/>
  <c r="O14" i="22"/>
  <c r="N17" i="22"/>
  <c r="Q17" i="22" s="1"/>
  <c r="S17" i="22" s="1"/>
  <c r="N18" i="22"/>
  <c r="Q18" i="22" s="1"/>
  <c r="S18" i="22" s="1"/>
  <c r="O19" i="22"/>
  <c r="N24" i="22"/>
  <c r="Q24" i="22" s="1"/>
  <c r="S24" i="22" s="1"/>
  <c r="N25" i="22"/>
  <c r="Q25" i="22" s="1"/>
  <c r="S25" i="22" s="1"/>
  <c r="O26" i="22"/>
  <c r="N30" i="22"/>
  <c r="Q30" i="22" s="1"/>
  <c r="S30" i="22" s="1"/>
  <c r="N31" i="22"/>
  <c r="O32" i="22"/>
  <c r="N35" i="22"/>
  <c r="Q35" i="22" s="1"/>
  <c r="S35" i="22" s="1"/>
  <c r="N36" i="22"/>
  <c r="O37" i="22"/>
  <c r="N38" i="22"/>
  <c r="Q45" i="22"/>
  <c r="S45" i="22" s="1"/>
  <c r="Q51" i="22"/>
  <c r="S51" i="22" s="1"/>
  <c r="Q56" i="22"/>
  <c r="S56" i="22" s="1"/>
  <c r="Q38" i="22" l="1"/>
  <c r="S38" i="22" s="1"/>
  <c r="Q36" i="22"/>
  <c r="S36" i="22" s="1"/>
  <c r="Q13" i="22"/>
  <c r="S13" i="22" s="1"/>
  <c r="Q20" i="22"/>
  <c r="S20" i="22" s="1"/>
  <c r="Q49" i="22"/>
  <c r="S49" i="22" s="1"/>
  <c r="Q37" i="22"/>
  <c r="S37" i="22" s="1"/>
  <c r="Q33" i="22"/>
  <c r="S33" i="22" s="1"/>
  <c r="Q19" i="22"/>
  <c r="S19" i="22" s="1"/>
  <c r="Q14" i="22"/>
  <c r="S14" i="22" s="1"/>
  <c r="Q54" i="22"/>
  <c r="S54" i="22" s="1"/>
  <c r="Q9" i="22"/>
  <c r="S9" i="22" s="1"/>
  <c r="Q15" i="22"/>
  <c r="S15" i="22" s="1"/>
  <c r="Q27" i="22"/>
  <c r="S27" i="22" s="1"/>
  <c r="Q31" i="22"/>
  <c r="S31" i="22" s="1"/>
  <c r="Q7" i="22"/>
  <c r="S7" i="22" s="1"/>
  <c r="Q50" i="22"/>
  <c r="S50" i="22" s="1"/>
  <c r="Q26" i="22"/>
  <c r="S26" i="22" s="1"/>
  <c r="Q32" i="22"/>
  <c r="S32" i="22" s="1"/>
  <c r="Q43" i="22"/>
  <c r="S43" i="22" s="1"/>
  <c r="Q8" i="22"/>
  <c r="S8" i="22" s="1"/>
  <c r="L36" i="20" l="1"/>
  <c r="K36" i="20"/>
  <c r="J36" i="20"/>
  <c r="I36" i="20"/>
  <c r="H36" i="20"/>
  <c r="L35" i="20"/>
  <c r="K35" i="20"/>
  <c r="J35" i="20"/>
  <c r="I35" i="20"/>
  <c r="H35" i="20"/>
  <c r="L34" i="20"/>
  <c r="K34" i="20"/>
  <c r="J34" i="20"/>
  <c r="I34" i="20"/>
  <c r="H34" i="20"/>
  <c r="L33" i="20"/>
  <c r="K33" i="20"/>
  <c r="J33" i="20"/>
  <c r="I33" i="20"/>
  <c r="H33" i="20"/>
  <c r="L28" i="20"/>
  <c r="K28" i="20"/>
  <c r="J28" i="20"/>
  <c r="I28" i="20"/>
  <c r="H28" i="20"/>
  <c r="L27" i="20"/>
  <c r="K27" i="20"/>
  <c r="J27" i="20"/>
  <c r="I27" i="20"/>
  <c r="H27" i="20"/>
  <c r="L26" i="20"/>
  <c r="K26" i="20"/>
  <c r="J26" i="20"/>
  <c r="I26" i="20"/>
  <c r="H26" i="20"/>
  <c r="L25" i="20"/>
  <c r="K25" i="20"/>
  <c r="J25" i="20"/>
  <c r="I25" i="20"/>
  <c r="H25" i="20"/>
  <c r="H18" i="20"/>
  <c r="I18" i="20"/>
  <c r="J18" i="20"/>
  <c r="K18" i="20"/>
  <c r="L18" i="20"/>
  <c r="H19" i="20"/>
  <c r="I19" i="20"/>
  <c r="J19" i="20"/>
  <c r="K19" i="20"/>
  <c r="L19" i="20"/>
  <c r="H20" i="20"/>
  <c r="I20" i="20"/>
  <c r="J20" i="20"/>
  <c r="K20" i="20"/>
  <c r="L20" i="20"/>
  <c r="I17" i="20"/>
  <c r="J17" i="20"/>
  <c r="K17" i="20"/>
  <c r="L17" i="20"/>
  <c r="H17" i="20"/>
  <c r="E12" i="20" l="1"/>
  <c r="E11" i="20"/>
  <c r="E10" i="20"/>
  <c r="E9" i="20"/>
  <c r="E8" i="20"/>
  <c r="E7" i="20"/>
  <c r="E6" i="20"/>
  <c r="E5" i="20"/>
  <c r="E12" i="19"/>
  <c r="E11" i="19"/>
  <c r="E10" i="19"/>
  <c r="E9" i="19"/>
  <c r="E8" i="19"/>
  <c r="E7" i="19"/>
  <c r="E6" i="19"/>
  <c r="E5" i="19"/>
  <c r="AB8" i="4"/>
  <c r="AA8" i="4"/>
  <c r="Z8" i="4"/>
  <c r="Y8" i="4"/>
  <c r="X8" i="4"/>
  <c r="AB20" i="18"/>
  <c r="AA20" i="18"/>
  <c r="Z20" i="18"/>
  <c r="Y20" i="18"/>
  <c r="X20" i="18"/>
  <c r="N20" i="18"/>
  <c r="M20" i="18"/>
  <c r="L20" i="18"/>
  <c r="K20" i="18"/>
  <c r="J20" i="18"/>
  <c r="U20" i="18"/>
  <c r="T20" i="18"/>
  <c r="S20" i="18"/>
  <c r="R20" i="18"/>
  <c r="Q20" i="18"/>
  <c r="M7" i="14" l="1"/>
  <c r="O7" i="14" s="1"/>
  <c r="R7" i="14" s="1"/>
  <c r="T7" i="14" s="1"/>
  <c r="L7" i="14"/>
  <c r="K7" i="14"/>
  <c r="O6" i="14"/>
  <c r="R6" i="14" s="1"/>
  <c r="T6" i="14" s="1"/>
  <c r="M6" i="14"/>
  <c r="L6" i="14"/>
  <c r="K6" i="14"/>
  <c r="P6" i="14" s="1"/>
  <c r="P7" i="14" l="1"/>
  <c r="E6" i="12" l="1"/>
  <c r="E7" i="12"/>
  <c r="E8" i="12"/>
  <c r="E9" i="12"/>
  <c r="E10" i="12"/>
  <c r="E11" i="12"/>
  <c r="E12" i="12"/>
  <c r="E5" i="12"/>
  <c r="AM63" i="8" l="1"/>
  <c r="AL63" i="8"/>
  <c r="AM62" i="8"/>
  <c r="AL62" i="8"/>
  <c r="AM61" i="8"/>
  <c r="AL61" i="8"/>
  <c r="AM60" i="8"/>
  <c r="AL60" i="8"/>
  <c r="AM59" i="8"/>
  <c r="AL59" i="8"/>
  <c r="AM58" i="8"/>
  <c r="AL58" i="8"/>
  <c r="AM57" i="8"/>
  <c r="AL57" i="8"/>
  <c r="AM56" i="8"/>
  <c r="AL56" i="8"/>
  <c r="AM55" i="8"/>
  <c r="AL55" i="8"/>
  <c r="AM54" i="8"/>
  <c r="AL54" i="8"/>
  <c r="AM47" i="8"/>
  <c r="AL47" i="8"/>
  <c r="AM46" i="8"/>
  <c r="AL46" i="8"/>
  <c r="AM45" i="8"/>
  <c r="AL45" i="8"/>
  <c r="AM44" i="8"/>
  <c r="AL44" i="8"/>
  <c r="AM43" i="8"/>
  <c r="AL43" i="8"/>
  <c r="AM42" i="8"/>
  <c r="AL42" i="8"/>
  <c r="AM41" i="8"/>
  <c r="AL41" i="8"/>
  <c r="AM40" i="8"/>
  <c r="AL40" i="8"/>
  <c r="AM39" i="8"/>
  <c r="AL39" i="8"/>
  <c r="AM38" i="8"/>
  <c r="AL38" i="8"/>
  <c r="AM31" i="8"/>
  <c r="AL31" i="8"/>
  <c r="AM30" i="8"/>
  <c r="AL30" i="8"/>
  <c r="AM29" i="8"/>
  <c r="AL29" i="8"/>
  <c r="AM28" i="8"/>
  <c r="AL28" i="8"/>
  <c r="AM27" i="8"/>
  <c r="AL27" i="8"/>
  <c r="AM26" i="8"/>
  <c r="AL26" i="8"/>
  <c r="AM25" i="8"/>
  <c r="AL25" i="8"/>
  <c r="AM24" i="8"/>
  <c r="AL24" i="8"/>
  <c r="AM23" i="8"/>
  <c r="AL23" i="8"/>
  <c r="AM22" i="8"/>
  <c r="AL22" i="8"/>
  <c r="AM15" i="8"/>
  <c r="AL15" i="8"/>
  <c r="AM14" i="8"/>
  <c r="AL14" i="8"/>
  <c r="AM13" i="8"/>
  <c r="AL13" i="8"/>
  <c r="AM12" i="8"/>
  <c r="AL12" i="8"/>
  <c r="AM11" i="8"/>
  <c r="AL11" i="8"/>
  <c r="AM10" i="8"/>
  <c r="AL10" i="8"/>
  <c r="AM9" i="8"/>
  <c r="AL9" i="8"/>
  <c r="AM8" i="8"/>
  <c r="AL8" i="8"/>
  <c r="AM7" i="8"/>
  <c r="AL7" i="8"/>
  <c r="AM6" i="8"/>
  <c r="AL6" i="8"/>
  <c r="AL16" i="8" s="1"/>
  <c r="AL17" i="8" l="1"/>
  <c r="AL33" i="8"/>
  <c r="AL48" i="8"/>
  <c r="AL49" i="8"/>
  <c r="AL64" i="8"/>
  <c r="AL65" i="8"/>
  <c r="AL32" i="8"/>
  <c r="R109" i="7" l="1"/>
  <c r="R108" i="7"/>
  <c r="B100" i="7"/>
  <c r="B99" i="7"/>
  <c r="B105" i="7" s="1"/>
  <c r="B106" i="7" s="1"/>
  <c r="B86" i="7"/>
  <c r="R56" i="7"/>
  <c r="L56" i="7"/>
  <c r="I56" i="7"/>
  <c r="F56" i="7"/>
  <c r="C56" i="7"/>
  <c r="R55" i="7"/>
  <c r="L55" i="7"/>
  <c r="I55" i="7"/>
  <c r="F55" i="7"/>
  <c r="C55" i="7"/>
  <c r="R54" i="7"/>
  <c r="L54" i="7"/>
  <c r="I54" i="7"/>
  <c r="F54" i="7"/>
  <c r="C54" i="7"/>
  <c r="R53" i="7"/>
  <c r="L53" i="7"/>
  <c r="I53" i="7"/>
  <c r="F53" i="7"/>
  <c r="C53" i="7"/>
  <c r="R52" i="7"/>
  <c r="L52" i="7"/>
  <c r="I52" i="7"/>
  <c r="F52" i="7"/>
  <c r="C52" i="7"/>
  <c r="R51" i="7"/>
  <c r="L51" i="7"/>
  <c r="I51" i="7"/>
  <c r="F51" i="7"/>
  <c r="C51" i="7"/>
  <c r="R50" i="7"/>
  <c r="L50" i="7"/>
  <c r="I50" i="7"/>
  <c r="F50" i="7"/>
  <c r="C50" i="7"/>
  <c r="R49" i="7"/>
  <c r="L49" i="7"/>
  <c r="I49" i="7"/>
  <c r="F49" i="7"/>
  <c r="C49" i="7"/>
  <c r="R48" i="7"/>
  <c r="L48" i="7"/>
  <c r="I48" i="7"/>
  <c r="F48" i="7"/>
  <c r="C48" i="7"/>
  <c r="R47" i="7"/>
  <c r="L47" i="7"/>
  <c r="I47" i="7"/>
  <c r="F47" i="7"/>
  <c r="C47" i="7"/>
  <c r="R45" i="7"/>
  <c r="R69" i="7" s="1"/>
  <c r="L45" i="7"/>
  <c r="I45" i="7"/>
  <c r="F45" i="7"/>
  <c r="F69" i="7" s="1"/>
  <c r="C45" i="7"/>
  <c r="C69" i="7" s="1"/>
  <c r="O81" i="7" s="1"/>
  <c r="O95" i="7" s="1"/>
  <c r="R44" i="7"/>
  <c r="L44" i="7"/>
  <c r="I44" i="7"/>
  <c r="I68" i="7" s="1"/>
  <c r="F44" i="7"/>
  <c r="F68" i="7" s="1"/>
  <c r="C44" i="7"/>
  <c r="R43" i="7"/>
  <c r="L43" i="7"/>
  <c r="I43" i="7"/>
  <c r="I67" i="7" s="1"/>
  <c r="F43" i="7"/>
  <c r="C43" i="7"/>
  <c r="R42" i="7"/>
  <c r="R66" i="7" s="1"/>
  <c r="L42" i="7"/>
  <c r="I42" i="7"/>
  <c r="F42" i="7"/>
  <c r="C42" i="7"/>
  <c r="C66" i="7" s="1"/>
  <c r="O78" i="7" s="1"/>
  <c r="O92" i="7" s="1"/>
  <c r="R41" i="7"/>
  <c r="R65" i="7" s="1"/>
  <c r="L41" i="7"/>
  <c r="I41" i="7"/>
  <c r="F41" i="7"/>
  <c r="F65" i="7" s="1"/>
  <c r="C41" i="7"/>
  <c r="C65" i="7" s="1"/>
  <c r="O77" i="7" s="1"/>
  <c r="O91" i="7" s="1"/>
  <c r="R40" i="7"/>
  <c r="L40" i="7"/>
  <c r="I40" i="7"/>
  <c r="I64" i="7" s="1"/>
  <c r="F40" i="7"/>
  <c r="F64" i="7" s="1"/>
  <c r="C40" i="7"/>
  <c r="R39" i="7"/>
  <c r="L39" i="7"/>
  <c r="I39" i="7"/>
  <c r="I63" i="7" s="1"/>
  <c r="F39" i="7"/>
  <c r="C39" i="7"/>
  <c r="R38" i="7"/>
  <c r="R62" i="7" s="1"/>
  <c r="L38" i="7"/>
  <c r="I38" i="7"/>
  <c r="F38" i="7"/>
  <c r="C38" i="7"/>
  <c r="C62" i="7" s="1"/>
  <c r="O74" i="7" s="1"/>
  <c r="O88" i="7" s="1"/>
  <c r="R37" i="7"/>
  <c r="R61" i="7" s="1"/>
  <c r="L37" i="7"/>
  <c r="I37" i="7"/>
  <c r="F37" i="7"/>
  <c r="F61" i="7" s="1"/>
  <c r="C37" i="7"/>
  <c r="C61" i="7" s="1"/>
  <c r="O73" i="7" s="1"/>
  <c r="O87" i="7" s="1"/>
  <c r="R36" i="7"/>
  <c r="L36" i="7"/>
  <c r="I36" i="7"/>
  <c r="I60" i="7" s="1"/>
  <c r="F36" i="7"/>
  <c r="F60" i="7" s="1"/>
  <c r="C36" i="7"/>
  <c r="F63" i="7" l="1"/>
  <c r="L62" i="7"/>
  <c r="L66" i="7"/>
  <c r="L78" i="7" s="1"/>
  <c r="L92" i="7" s="1"/>
  <c r="L63" i="7"/>
  <c r="L67" i="7"/>
  <c r="F81" i="7"/>
  <c r="F95" i="7" s="1"/>
  <c r="L60" i="7"/>
  <c r="I61" i="7"/>
  <c r="I73" i="7" s="1"/>
  <c r="I87" i="7" s="1"/>
  <c r="F62" i="7"/>
  <c r="F74" i="7" s="1"/>
  <c r="F88" i="7" s="1"/>
  <c r="C63" i="7"/>
  <c r="R63" i="7"/>
  <c r="L64" i="7"/>
  <c r="L76" i="7" s="1"/>
  <c r="L90" i="7" s="1"/>
  <c r="I65" i="7"/>
  <c r="I77" i="7" s="1"/>
  <c r="I91" i="7" s="1"/>
  <c r="F66" i="7"/>
  <c r="F78" i="7" s="1"/>
  <c r="F92" i="7" s="1"/>
  <c r="L68" i="7"/>
  <c r="L80" i="7" s="1"/>
  <c r="L94" i="7" s="1"/>
  <c r="I69" i="7"/>
  <c r="I81" i="7" s="1"/>
  <c r="I95" i="7" s="1"/>
  <c r="B101" i="7"/>
  <c r="O104" i="7" s="1"/>
  <c r="C64" i="7"/>
  <c r="C67" i="7"/>
  <c r="R67" i="7"/>
  <c r="R74" i="7"/>
  <c r="R88" i="7" s="1"/>
  <c r="R100" i="7" s="1"/>
  <c r="R78" i="7"/>
  <c r="R92" i="7" s="1"/>
  <c r="R104" i="7" s="1"/>
  <c r="C60" i="7"/>
  <c r="R60" i="7"/>
  <c r="L61" i="7"/>
  <c r="L73" i="7" s="1"/>
  <c r="L87" i="7" s="1"/>
  <c r="I62" i="7"/>
  <c r="I74" i="7" s="1"/>
  <c r="I88" i="7" s="1"/>
  <c r="R64" i="7"/>
  <c r="R76" i="7" s="1"/>
  <c r="R90" i="7" s="1"/>
  <c r="R102" i="7" s="1"/>
  <c r="L65" i="7"/>
  <c r="L77" i="7" s="1"/>
  <c r="L91" i="7" s="1"/>
  <c r="I66" i="7"/>
  <c r="I78" i="7" s="1"/>
  <c r="I92" i="7" s="1"/>
  <c r="F67" i="7"/>
  <c r="C68" i="7"/>
  <c r="R68" i="7"/>
  <c r="L69" i="7"/>
  <c r="L81" i="7" s="1"/>
  <c r="L95" i="7" s="1"/>
  <c r="L108" i="7"/>
  <c r="F107" i="7"/>
  <c r="R73" i="7"/>
  <c r="R87" i="7" s="1"/>
  <c r="L74" i="7"/>
  <c r="L88" i="7" s="1"/>
  <c r="F77" i="7"/>
  <c r="F91" i="7" s="1"/>
  <c r="R81" i="7"/>
  <c r="R95" i="7" s="1"/>
  <c r="F73" i="7"/>
  <c r="F87" i="7" s="1"/>
  <c r="R77" i="7"/>
  <c r="R91" i="7" s="1"/>
  <c r="R80" i="7" l="1"/>
  <c r="R94" i="7" s="1"/>
  <c r="O80" i="7"/>
  <c r="O94" i="7" s="1"/>
  <c r="O106" i="7" s="1"/>
  <c r="F72" i="7"/>
  <c r="F86" i="7" s="1"/>
  <c r="O72" i="7"/>
  <c r="O86" i="7" s="1"/>
  <c r="O98" i="7" s="1"/>
  <c r="O110" i="7" s="1"/>
  <c r="I79" i="7"/>
  <c r="I93" i="7" s="1"/>
  <c r="O79" i="7"/>
  <c r="O93" i="7" s="1"/>
  <c r="O105" i="7" s="1"/>
  <c r="O99" i="7"/>
  <c r="F109" i="7"/>
  <c r="I76" i="7"/>
  <c r="I90" i="7" s="1"/>
  <c r="O76" i="7"/>
  <c r="O90" i="7" s="1"/>
  <c r="O102" i="7" s="1"/>
  <c r="I75" i="7"/>
  <c r="I89" i="7" s="1"/>
  <c r="I101" i="7" s="1"/>
  <c r="O75" i="7"/>
  <c r="O89" i="7" s="1"/>
  <c r="O101" i="7" s="1"/>
  <c r="I109" i="7"/>
  <c r="O108" i="7"/>
  <c r="O109" i="7"/>
  <c r="O100" i="7"/>
  <c r="I99" i="7"/>
  <c r="O107" i="7"/>
  <c r="O103" i="7"/>
  <c r="L72" i="7"/>
  <c r="L86" i="7" s="1"/>
  <c r="L98" i="7" s="1"/>
  <c r="L110" i="7" s="1"/>
  <c r="L99" i="7"/>
  <c r="F79" i="7"/>
  <c r="F93" i="7" s="1"/>
  <c r="F105" i="7" s="1"/>
  <c r="F80" i="7"/>
  <c r="F94" i="7" s="1"/>
  <c r="F106" i="7" s="1"/>
  <c r="I102" i="7"/>
  <c r="I103" i="7"/>
  <c r="L102" i="7"/>
  <c r="L75" i="7"/>
  <c r="L89" i="7" s="1"/>
  <c r="L101" i="7" s="1"/>
  <c r="L104" i="7"/>
  <c r="R79" i="7"/>
  <c r="R93" i="7" s="1"/>
  <c r="I80" i="7"/>
  <c r="I94" i="7" s="1"/>
  <c r="I104" i="7"/>
  <c r="L107" i="7"/>
  <c r="L103" i="7"/>
  <c r="F100" i="7"/>
  <c r="R72" i="7"/>
  <c r="R86" i="7" s="1"/>
  <c r="R98" i="7" s="1"/>
  <c r="R110" i="7" s="1"/>
  <c r="L109" i="7"/>
  <c r="F76" i="7"/>
  <c r="F90" i="7" s="1"/>
  <c r="F75" i="7"/>
  <c r="F89" i="7" s="1"/>
  <c r="F101" i="7" s="1"/>
  <c r="F108" i="7"/>
  <c r="I108" i="7"/>
  <c r="I72" i="7"/>
  <c r="I86" i="7" s="1"/>
  <c r="R75" i="7"/>
  <c r="R89" i="7" s="1"/>
  <c r="F98" i="7"/>
  <c r="F110" i="7" s="1"/>
  <c r="I105" i="7"/>
  <c r="I100" i="7"/>
  <c r="L79" i="7"/>
  <c r="L93" i="7" s="1"/>
  <c r="F104" i="7"/>
  <c r="F99" i="7"/>
  <c r="F103" i="7"/>
  <c r="R99" i="7"/>
  <c r="R106" i="7"/>
  <c r="R103" i="7"/>
  <c r="R107" i="7"/>
  <c r="I107" i="7"/>
  <c r="I98" i="7"/>
  <c r="I110" i="7" s="1"/>
  <c r="L106" i="7"/>
  <c r="I106" i="7"/>
  <c r="L100" i="7"/>
  <c r="F102" i="7" l="1"/>
  <c r="R105" i="7"/>
  <c r="R101" i="7"/>
  <c r="L105" i="7"/>
  <c r="W156" i="6" l="1"/>
  <c r="U154" i="6"/>
  <c r="S148" i="6"/>
  <c r="T146" i="6"/>
  <c r="S143" i="6"/>
  <c r="V139" i="6"/>
  <c r="V158" i="6" s="1"/>
  <c r="U139" i="6"/>
  <c r="T139" i="6"/>
  <c r="T158" i="6" s="1"/>
  <c r="S139" i="6"/>
  <c r="S158" i="6" s="1"/>
  <c r="V138" i="6"/>
  <c r="V148" i="6" s="1"/>
  <c r="U138" i="6"/>
  <c r="T138" i="6"/>
  <c r="S138" i="6"/>
  <c r="S157" i="6" s="1"/>
  <c r="W137" i="6"/>
  <c r="W147" i="6" s="1"/>
  <c r="V137" i="6"/>
  <c r="V156" i="6" s="1"/>
  <c r="U137" i="6"/>
  <c r="T137" i="6"/>
  <c r="S137" i="6"/>
  <c r="S156" i="6" s="1"/>
  <c r="W136" i="6"/>
  <c r="W146" i="6" s="1"/>
  <c r="V136" i="6"/>
  <c r="U136" i="6"/>
  <c r="U155" i="6" s="1"/>
  <c r="T136" i="6"/>
  <c r="T155" i="6" s="1"/>
  <c r="S136" i="6"/>
  <c r="S146" i="6" s="1"/>
  <c r="W135" i="6"/>
  <c r="V135" i="6"/>
  <c r="V145" i="6" s="1"/>
  <c r="U135" i="6"/>
  <c r="U145" i="6" s="1"/>
  <c r="T135" i="6"/>
  <c r="S135" i="6"/>
  <c r="W134" i="6"/>
  <c r="W144" i="6" s="1"/>
  <c r="V134" i="6"/>
  <c r="V144" i="6" s="1"/>
  <c r="U134" i="6"/>
  <c r="U153" i="6" s="1"/>
  <c r="T134" i="6"/>
  <c r="T153" i="6" s="1"/>
  <c r="S134" i="6"/>
  <c r="W133" i="6"/>
  <c r="W152" i="6" s="1"/>
  <c r="V133" i="6"/>
  <c r="V143" i="6" s="1"/>
  <c r="U133" i="6"/>
  <c r="U152" i="6" s="1"/>
  <c r="T133" i="6"/>
  <c r="S133" i="6"/>
  <c r="S152" i="6" s="1"/>
  <c r="W132" i="6"/>
  <c r="V132" i="6"/>
  <c r="V142" i="6" s="1"/>
  <c r="U132" i="6"/>
  <c r="U142" i="6" s="1"/>
  <c r="T132" i="6"/>
  <c r="T151" i="6" s="1"/>
  <c r="S132" i="6"/>
  <c r="S151" i="6" s="1"/>
  <c r="T123" i="6"/>
  <c r="W120" i="6"/>
  <c r="U119" i="6"/>
  <c r="U113" i="6"/>
  <c r="V106" i="6"/>
  <c r="V116" i="6" s="1"/>
  <c r="U106" i="6"/>
  <c r="U116" i="6" s="1"/>
  <c r="T106" i="6"/>
  <c r="S106" i="6"/>
  <c r="S125" i="6" s="1"/>
  <c r="V105" i="6"/>
  <c r="V115" i="6" s="1"/>
  <c r="U105" i="6"/>
  <c r="U124" i="6" s="1"/>
  <c r="T105" i="6"/>
  <c r="T124" i="6" s="1"/>
  <c r="S105" i="6"/>
  <c r="S115" i="6" s="1"/>
  <c r="W104" i="6"/>
  <c r="V104" i="6"/>
  <c r="V114" i="6" s="1"/>
  <c r="U104" i="6"/>
  <c r="T104" i="6"/>
  <c r="T114" i="6" s="1"/>
  <c r="S104" i="6"/>
  <c r="S123" i="6" s="1"/>
  <c r="W103" i="6"/>
  <c r="V103" i="6"/>
  <c r="V113" i="6" s="1"/>
  <c r="U103" i="6"/>
  <c r="U122" i="6" s="1"/>
  <c r="T103" i="6"/>
  <c r="T113" i="6" s="1"/>
  <c r="S103" i="6"/>
  <c r="W102" i="6"/>
  <c r="W121" i="6" s="1"/>
  <c r="V102" i="6"/>
  <c r="V121" i="6" s="1"/>
  <c r="U102" i="6"/>
  <c r="U112" i="6" s="1"/>
  <c r="T102" i="6"/>
  <c r="T121" i="6" s="1"/>
  <c r="S102" i="6"/>
  <c r="S112" i="6" s="1"/>
  <c r="W101" i="6"/>
  <c r="W111" i="6" s="1"/>
  <c r="V101" i="6"/>
  <c r="V120" i="6" s="1"/>
  <c r="U101" i="6"/>
  <c r="T101" i="6"/>
  <c r="T120" i="6" s="1"/>
  <c r="S101" i="6"/>
  <c r="S111" i="6" s="1"/>
  <c r="W100" i="6"/>
  <c r="W119" i="6" s="1"/>
  <c r="V100" i="6"/>
  <c r="V119" i="6" s="1"/>
  <c r="U100" i="6"/>
  <c r="U110" i="6" s="1"/>
  <c r="T100" i="6"/>
  <c r="T110" i="6" s="1"/>
  <c r="S100" i="6"/>
  <c r="S119" i="6" s="1"/>
  <c r="W99" i="6"/>
  <c r="W109" i="6" s="1"/>
  <c r="V99" i="6"/>
  <c r="V118" i="6" s="1"/>
  <c r="U99" i="6"/>
  <c r="U109" i="6" s="1"/>
  <c r="T99" i="6"/>
  <c r="S99" i="6"/>
  <c r="S109" i="6" s="1"/>
  <c r="U87" i="6"/>
  <c r="V80" i="6"/>
  <c r="U78" i="6"/>
  <c r="V73" i="6"/>
  <c r="V92" i="6" s="1"/>
  <c r="U73" i="6"/>
  <c r="T73" i="6"/>
  <c r="T92" i="6" s="1"/>
  <c r="S73" i="6"/>
  <c r="S83" i="6" s="1"/>
  <c r="V72" i="6"/>
  <c r="V91" i="6" s="1"/>
  <c r="U72" i="6"/>
  <c r="U91" i="6" s="1"/>
  <c r="T72" i="6"/>
  <c r="T82" i="6" s="1"/>
  <c r="S72" i="6"/>
  <c r="W71" i="6"/>
  <c r="W90" i="6" s="1"/>
  <c r="V71" i="6"/>
  <c r="U71" i="6"/>
  <c r="U90" i="6" s="1"/>
  <c r="T71" i="6"/>
  <c r="T90" i="6" s="1"/>
  <c r="S71" i="6"/>
  <c r="S90" i="6" s="1"/>
  <c r="W70" i="6"/>
  <c r="V70" i="6"/>
  <c r="V89" i="6" s="1"/>
  <c r="U70" i="6"/>
  <c r="U80" i="6" s="1"/>
  <c r="T70" i="6"/>
  <c r="T80" i="6" s="1"/>
  <c r="S70" i="6"/>
  <c r="S89" i="6" s="1"/>
  <c r="W69" i="6"/>
  <c r="W79" i="6" s="1"/>
  <c r="V69" i="6"/>
  <c r="V88" i="6" s="1"/>
  <c r="U69" i="6"/>
  <c r="U88" i="6" s="1"/>
  <c r="T69" i="6"/>
  <c r="T79" i="6" s="1"/>
  <c r="S69" i="6"/>
  <c r="S88" i="6" s="1"/>
  <c r="W68" i="6"/>
  <c r="W78" i="6" s="1"/>
  <c r="V68" i="6"/>
  <c r="V87" i="6" s="1"/>
  <c r="U68" i="6"/>
  <c r="T68" i="6"/>
  <c r="T87" i="6" s="1"/>
  <c r="S68" i="6"/>
  <c r="S87" i="6" s="1"/>
  <c r="W67" i="6"/>
  <c r="W86" i="6" s="1"/>
  <c r="V67" i="6"/>
  <c r="V86" i="6" s="1"/>
  <c r="U67" i="6"/>
  <c r="U86" i="6" s="1"/>
  <c r="T67" i="6"/>
  <c r="T77" i="6" s="1"/>
  <c r="S67" i="6"/>
  <c r="S86" i="6" s="1"/>
  <c r="W66" i="6"/>
  <c r="W85" i="6" s="1"/>
  <c r="V66" i="6"/>
  <c r="V76" i="6" s="1"/>
  <c r="U66" i="6"/>
  <c r="U85" i="6" s="1"/>
  <c r="T66" i="6"/>
  <c r="T76" i="6" s="1"/>
  <c r="S66" i="6"/>
  <c r="S85" i="6" s="1"/>
  <c r="G46" i="6"/>
  <c r="H46" i="6" s="1"/>
  <c r="I46" i="6" s="1"/>
  <c r="G45" i="6"/>
  <c r="H45" i="6" s="1"/>
  <c r="I45" i="6" s="1"/>
  <c r="G44" i="6"/>
  <c r="H44" i="6" s="1"/>
  <c r="I44" i="6" s="1"/>
  <c r="G43" i="6"/>
  <c r="H43" i="6" s="1"/>
  <c r="I43" i="6" s="1"/>
  <c r="G42" i="6"/>
  <c r="H42" i="6" s="1"/>
  <c r="I42" i="6" s="1"/>
  <c r="H41" i="6"/>
  <c r="I41" i="6" s="1"/>
  <c r="G41" i="6"/>
  <c r="G40" i="6"/>
  <c r="H40" i="6" s="1"/>
  <c r="I40" i="6" s="1"/>
  <c r="G39" i="6"/>
  <c r="H39" i="6" s="1"/>
  <c r="G38" i="6"/>
  <c r="H38" i="6" s="1"/>
  <c r="I38" i="6" s="1"/>
  <c r="G37" i="6"/>
  <c r="H37" i="6" s="1"/>
  <c r="G30" i="6"/>
  <c r="H30" i="6" s="1"/>
  <c r="I30" i="6" s="1"/>
  <c r="G29" i="6"/>
  <c r="H29" i="6" s="1"/>
  <c r="I29" i="6" s="1"/>
  <c r="G28" i="6"/>
  <c r="H28" i="6" s="1"/>
  <c r="I28" i="6" s="1"/>
  <c r="G27" i="6"/>
  <c r="H27" i="6" s="1"/>
  <c r="I27" i="6" s="1"/>
  <c r="H26" i="6"/>
  <c r="I26" i="6" s="1"/>
  <c r="G26" i="6"/>
  <c r="G25" i="6"/>
  <c r="H25" i="6" s="1"/>
  <c r="I25" i="6" s="1"/>
  <c r="G24" i="6"/>
  <c r="H24" i="6" s="1"/>
  <c r="I24" i="6" s="1"/>
  <c r="G23" i="6"/>
  <c r="H23" i="6" s="1"/>
  <c r="I23" i="6" s="1"/>
  <c r="G22" i="6"/>
  <c r="H22" i="6" s="1"/>
  <c r="I22" i="6" s="1"/>
  <c r="G21" i="6"/>
  <c r="H21" i="6" s="1"/>
  <c r="G16" i="6"/>
  <c r="H16" i="6" s="1"/>
  <c r="I16" i="6" s="1"/>
  <c r="G15" i="6"/>
  <c r="H15" i="6" s="1"/>
  <c r="I15" i="6" s="1"/>
  <c r="G14" i="6"/>
  <c r="H14" i="6" s="1"/>
  <c r="I14" i="6" s="1"/>
  <c r="G13" i="6"/>
  <c r="H13" i="6" s="1"/>
  <c r="I13" i="6" s="1"/>
  <c r="G12" i="6"/>
  <c r="H12" i="6" s="1"/>
  <c r="I12" i="6" s="1"/>
  <c r="G11" i="6"/>
  <c r="H11" i="6" s="1"/>
  <c r="I11" i="6" s="1"/>
  <c r="G10" i="6"/>
  <c r="H10" i="6" s="1"/>
  <c r="I10" i="6" s="1"/>
  <c r="H9" i="6"/>
  <c r="I9" i="6" s="1"/>
  <c r="G9" i="6"/>
  <c r="G8" i="6"/>
  <c r="H8" i="6" s="1"/>
  <c r="I8" i="6" s="1"/>
  <c r="G7" i="6"/>
  <c r="H7" i="6" s="1"/>
  <c r="W77" i="6" l="1"/>
  <c r="T85" i="6"/>
  <c r="T89" i="6"/>
  <c r="V110" i="6"/>
  <c r="U115" i="6"/>
  <c r="U118" i="6"/>
  <c r="U125" i="6"/>
  <c r="V151" i="6"/>
  <c r="AB76" i="6"/>
  <c r="AE76" i="6" s="1"/>
  <c r="AG76" i="6" s="1"/>
  <c r="AJ76" i="6" s="1"/>
  <c r="S76" i="6"/>
  <c r="T78" i="6"/>
  <c r="AC76" i="6" s="1"/>
  <c r="W81" i="6"/>
  <c r="V85" i="6"/>
  <c r="T111" i="6"/>
  <c r="S116" i="6"/>
  <c r="T119" i="6"/>
  <c r="S121" i="6"/>
  <c r="V123" i="6"/>
  <c r="W143" i="6"/>
  <c r="U146" i="6"/>
  <c r="T149" i="6"/>
  <c r="V154" i="6"/>
  <c r="V157" i="6"/>
  <c r="V82" i="6"/>
  <c r="V112" i="6"/>
  <c r="S124" i="6"/>
  <c r="S147" i="6"/>
  <c r="V149" i="6"/>
  <c r="S77" i="6"/>
  <c r="U79" i="6"/>
  <c r="V83" i="6"/>
  <c r="W88" i="6"/>
  <c r="W112" i="6"/>
  <c r="T115" i="6"/>
  <c r="S118" i="6"/>
  <c r="S120" i="6"/>
  <c r="T142" i="6"/>
  <c r="V153" i="6"/>
  <c r="AB85" i="6"/>
  <c r="AE85" i="6" s="1"/>
  <c r="AG85" i="6" s="1"/>
  <c r="AJ85" i="6" s="1"/>
  <c r="AB116" i="6"/>
  <c r="AE116" i="6" s="1"/>
  <c r="AG116" i="6" s="1"/>
  <c r="AJ116" i="6" s="1"/>
  <c r="AC117" i="6"/>
  <c r="S91" i="6"/>
  <c r="S82" i="6"/>
  <c r="T81" i="6"/>
  <c r="AC77" i="6" s="1"/>
  <c r="T86" i="6"/>
  <c r="T118" i="6"/>
  <c r="T109" i="6"/>
  <c r="W123" i="6"/>
  <c r="W114" i="6"/>
  <c r="AC116" i="6"/>
  <c r="T122" i="6"/>
  <c r="V124" i="6"/>
  <c r="W151" i="6"/>
  <c r="W142" i="6"/>
  <c r="T145" i="6"/>
  <c r="T154" i="6"/>
  <c r="U157" i="6"/>
  <c r="U148" i="6"/>
  <c r="U149" i="6"/>
  <c r="U158" i="6"/>
  <c r="U144" i="6"/>
  <c r="V152" i="6"/>
  <c r="W155" i="6"/>
  <c r="U77" i="6"/>
  <c r="V79" i="6"/>
  <c r="U81" i="6"/>
  <c r="AC80" i="6" s="1"/>
  <c r="W87" i="6"/>
  <c r="S92" i="6"/>
  <c r="W110" i="6"/>
  <c r="AB117" i="6" s="1"/>
  <c r="AE117" i="6" s="1"/>
  <c r="AG117" i="6" s="1"/>
  <c r="AJ117" i="6" s="1"/>
  <c r="AB118" i="6"/>
  <c r="AE118" i="6" s="1"/>
  <c r="AG118" i="6" s="1"/>
  <c r="AJ118" i="6" s="1"/>
  <c r="V147" i="6"/>
  <c r="W89" i="6"/>
  <c r="W80" i="6"/>
  <c r="AC85" i="6" s="1"/>
  <c r="V90" i="6"/>
  <c r="V81" i="6"/>
  <c r="U92" i="6"/>
  <c r="U83" i="6"/>
  <c r="U76" i="6"/>
  <c r="V77" i="6"/>
  <c r="S80" i="6"/>
  <c r="U82" i="6"/>
  <c r="T88" i="6"/>
  <c r="U89" i="6"/>
  <c r="AC112" i="6"/>
  <c r="U123" i="6"/>
  <c r="U114" i="6"/>
  <c r="AC113" i="6" s="1"/>
  <c r="T125" i="6"/>
  <c r="T116" i="6"/>
  <c r="AC111" i="6" s="1"/>
  <c r="V109" i="6"/>
  <c r="AB114" i="6" s="1"/>
  <c r="AE114" i="6" s="1"/>
  <c r="AG114" i="6" s="1"/>
  <c r="AJ114" i="6" s="1"/>
  <c r="S110" i="6"/>
  <c r="V111" i="6"/>
  <c r="AB112" i="6"/>
  <c r="AE112" i="6" s="1"/>
  <c r="AG112" i="6" s="1"/>
  <c r="AJ112" i="6" s="1"/>
  <c r="S114" i="6"/>
  <c r="AC114" i="6"/>
  <c r="U121" i="6"/>
  <c r="V122" i="6"/>
  <c r="T143" i="6"/>
  <c r="T152" i="6"/>
  <c r="S144" i="6"/>
  <c r="S153" i="6"/>
  <c r="T147" i="6"/>
  <c r="T156" i="6"/>
  <c r="S142" i="6"/>
  <c r="S155" i="6"/>
  <c r="W76" i="6"/>
  <c r="S78" i="6"/>
  <c r="S79" i="6"/>
  <c r="T83" i="6"/>
  <c r="T91" i="6"/>
  <c r="U120" i="6"/>
  <c r="U111" i="6"/>
  <c r="S122" i="6"/>
  <c r="S113" i="6"/>
  <c r="W122" i="6"/>
  <c r="W113" i="6"/>
  <c r="T112" i="6"/>
  <c r="W118" i="6"/>
  <c r="V125" i="6"/>
  <c r="S154" i="6"/>
  <c r="S145" i="6"/>
  <c r="W154" i="6"/>
  <c r="W145" i="6"/>
  <c r="V155" i="6"/>
  <c r="V146" i="6"/>
  <c r="AB148" i="6" s="1"/>
  <c r="AE148" i="6" s="1"/>
  <c r="AG148" i="6" s="1"/>
  <c r="AK148" i="6" s="1"/>
  <c r="U156" i="6"/>
  <c r="U147" i="6"/>
  <c r="AC146" i="6" s="1"/>
  <c r="T157" i="6"/>
  <c r="T148" i="6"/>
  <c r="U143" i="6"/>
  <c r="T144" i="6"/>
  <c r="S149" i="6"/>
  <c r="U151" i="6"/>
  <c r="W153" i="6"/>
  <c r="V78" i="6"/>
  <c r="S81" i="6"/>
  <c r="H17" i="6"/>
  <c r="I7" i="6"/>
  <c r="H31" i="6"/>
  <c r="I21" i="6"/>
  <c r="I39" i="6"/>
  <c r="H47" i="6"/>
  <c r="H48" i="6"/>
  <c r="I37" i="6"/>
  <c r="AC78" i="6" l="1"/>
  <c r="AC118" i="6"/>
  <c r="AB146" i="6"/>
  <c r="AE146" i="6" s="1"/>
  <c r="AG146" i="6" s="1"/>
  <c r="AK146" i="6" s="1"/>
  <c r="AB144" i="6"/>
  <c r="AE144" i="6" s="1"/>
  <c r="AG144" i="6" s="1"/>
  <c r="AK144" i="6" s="1"/>
  <c r="AC144" i="6"/>
  <c r="AC110" i="6"/>
  <c r="AB110" i="6"/>
  <c r="AE110" i="6" s="1"/>
  <c r="AG110" i="6" s="1"/>
  <c r="AJ110" i="6" s="1"/>
  <c r="AB78" i="6"/>
  <c r="AE78" i="6" s="1"/>
  <c r="AG78" i="6" s="1"/>
  <c r="AJ78" i="6" s="1"/>
  <c r="AB80" i="6"/>
  <c r="AE80" i="6" s="1"/>
  <c r="AG80" i="6" s="1"/>
  <c r="AJ80" i="6" s="1"/>
  <c r="AB115" i="6"/>
  <c r="AE115" i="6" s="1"/>
  <c r="AG115" i="6" s="1"/>
  <c r="AJ115" i="6" s="1"/>
  <c r="AC115" i="6"/>
  <c r="AB83" i="6"/>
  <c r="AE83" i="6" s="1"/>
  <c r="AG83" i="6" s="1"/>
  <c r="AJ83" i="6" s="1"/>
  <c r="AC83" i="6"/>
  <c r="AB77" i="6"/>
  <c r="AE77" i="6" s="1"/>
  <c r="AG77" i="6" s="1"/>
  <c r="AB147" i="6"/>
  <c r="AE147" i="6" s="1"/>
  <c r="AG147" i="6" s="1"/>
  <c r="AK147" i="6" s="1"/>
  <c r="AC147" i="6"/>
  <c r="AB143" i="6"/>
  <c r="AE143" i="6" s="1"/>
  <c r="AG143" i="6" s="1"/>
  <c r="AK143" i="6" s="1"/>
  <c r="AC143" i="6"/>
  <c r="AC109" i="6"/>
  <c r="AB109" i="6"/>
  <c r="AE109" i="6" s="1"/>
  <c r="AG109" i="6" s="1"/>
  <c r="AC148" i="6"/>
  <c r="AC82" i="6"/>
  <c r="AB82" i="6"/>
  <c r="AE82" i="6" s="1"/>
  <c r="AG82" i="6" s="1"/>
  <c r="AJ82" i="6" s="1"/>
  <c r="AC151" i="6"/>
  <c r="AB151" i="6"/>
  <c r="AE151" i="6" s="1"/>
  <c r="AG151" i="6" s="1"/>
  <c r="AK151" i="6" s="1"/>
  <c r="AB79" i="6"/>
  <c r="AE79" i="6" s="1"/>
  <c r="AG79" i="6" s="1"/>
  <c r="AJ79" i="6" s="1"/>
  <c r="AC79" i="6"/>
  <c r="AC150" i="6"/>
  <c r="AB150" i="6"/>
  <c r="AE150" i="6" s="1"/>
  <c r="AG150" i="6" s="1"/>
  <c r="AK150" i="6" s="1"/>
  <c r="AB111" i="6"/>
  <c r="AE111" i="6" s="1"/>
  <c r="AG111" i="6" s="1"/>
  <c r="AJ111" i="6" s="1"/>
  <c r="AB145" i="6"/>
  <c r="AE145" i="6" s="1"/>
  <c r="AG145" i="6" s="1"/>
  <c r="AK145" i="6" s="1"/>
  <c r="AC145" i="6"/>
  <c r="AB84" i="6"/>
  <c r="AE84" i="6" s="1"/>
  <c r="AG84" i="6" s="1"/>
  <c r="AJ84" i="6" s="1"/>
  <c r="AC84" i="6"/>
  <c r="AC142" i="6"/>
  <c r="AB142" i="6"/>
  <c r="AE142" i="6" s="1"/>
  <c r="AG142" i="6" s="1"/>
  <c r="AB81" i="6"/>
  <c r="AE81" i="6" s="1"/>
  <c r="AG81" i="6" s="1"/>
  <c r="AJ81" i="6" s="1"/>
  <c r="AC81" i="6"/>
  <c r="AB149" i="6"/>
  <c r="AE149" i="6" s="1"/>
  <c r="AG149" i="6" s="1"/>
  <c r="AK149" i="6" s="1"/>
  <c r="AC149" i="6"/>
  <c r="AB113" i="6"/>
  <c r="AE113" i="6" s="1"/>
  <c r="AG113" i="6" s="1"/>
  <c r="AJ113" i="6" s="1"/>
  <c r="AO100" i="5"/>
  <c r="AX100" i="5" s="1"/>
  <c r="AM100" i="5"/>
  <c r="AL100" i="5"/>
  <c r="BF100" i="5" s="1"/>
  <c r="AM99" i="5"/>
  <c r="AL99" i="5"/>
  <c r="AO99" i="5" s="1"/>
  <c r="AX99" i="5" s="1"/>
  <c r="AM98" i="5"/>
  <c r="AL98" i="5"/>
  <c r="AO98" i="5" s="1"/>
  <c r="AX98" i="5" s="1"/>
  <c r="AO97" i="5"/>
  <c r="AX97" i="5" s="1"/>
  <c r="AM97" i="5"/>
  <c r="AL97" i="5"/>
  <c r="BF97" i="5" s="1"/>
  <c r="AO96" i="5"/>
  <c r="AX96" i="5" s="1"/>
  <c r="AM96" i="5"/>
  <c r="AL96" i="5"/>
  <c r="BF96" i="5" s="1"/>
  <c r="AM95" i="5"/>
  <c r="AL95" i="5"/>
  <c r="AO95" i="5" s="1"/>
  <c r="AX95" i="5" s="1"/>
  <c r="AM94" i="5"/>
  <c r="AL94" i="5"/>
  <c r="AO94" i="5" s="1"/>
  <c r="AX94" i="5" s="1"/>
  <c r="AO93" i="5"/>
  <c r="AX93" i="5" s="1"/>
  <c r="AM93" i="5"/>
  <c r="AL93" i="5"/>
  <c r="BF93" i="5" s="1"/>
  <c r="AO92" i="5"/>
  <c r="AX92" i="5" s="1"/>
  <c r="AM92" i="5"/>
  <c r="AL92" i="5"/>
  <c r="BF92" i="5" s="1"/>
  <c r="AM91" i="5"/>
  <c r="AL91" i="5"/>
  <c r="AO91" i="5" s="1"/>
  <c r="AN19" i="5"/>
  <c r="AM19" i="5"/>
  <c r="AP19" i="5" s="1"/>
  <c r="AY19" i="5" s="1"/>
  <c r="AN18" i="5"/>
  <c r="AM18" i="5"/>
  <c r="AP18" i="5" s="1"/>
  <c r="AY18" i="5" s="1"/>
  <c r="AN17" i="5"/>
  <c r="AM17" i="5"/>
  <c r="BG17" i="5" s="1"/>
  <c r="AN16" i="5"/>
  <c r="AM16" i="5"/>
  <c r="BG16" i="5" s="1"/>
  <c r="AN15" i="5"/>
  <c r="AM15" i="5"/>
  <c r="AP15" i="5" s="1"/>
  <c r="AY15" i="5" s="1"/>
  <c r="AN14" i="5"/>
  <c r="AM14" i="5"/>
  <c r="AP14" i="5" s="1"/>
  <c r="AY14" i="5" s="1"/>
  <c r="AN13" i="5"/>
  <c r="AM13" i="5"/>
  <c r="BG13" i="5" s="1"/>
  <c r="AN12" i="5"/>
  <c r="AM12" i="5"/>
  <c r="BG12" i="5" s="1"/>
  <c r="AN11" i="5"/>
  <c r="AM11" i="5"/>
  <c r="AP11" i="5" s="1"/>
  <c r="AY11" i="5" s="1"/>
  <c r="AN10" i="5"/>
  <c r="AM10" i="5"/>
  <c r="AP10" i="5" s="1"/>
  <c r="AY10" i="5" s="1"/>
  <c r="AJ77" i="6" l="1"/>
  <c r="AG88" i="6"/>
  <c r="AK142" i="6"/>
  <c r="AG156" i="6"/>
  <c r="AG122" i="6"/>
  <c r="AJ109" i="6"/>
  <c r="AO101" i="5"/>
  <c r="AX91" i="5"/>
  <c r="BF94" i="5"/>
  <c r="BF98" i="5"/>
  <c r="BF91" i="5"/>
  <c r="BF95" i="5"/>
  <c r="BF99" i="5"/>
  <c r="AP16" i="5"/>
  <c r="AY16" i="5" s="1"/>
  <c r="AP17" i="5"/>
  <c r="AY17" i="5" s="1"/>
  <c r="AP13" i="5"/>
  <c r="AY13" i="5" s="1"/>
  <c r="AP12" i="5"/>
  <c r="AY12" i="5" s="1"/>
  <c r="BG10" i="5"/>
  <c r="BG14" i="5"/>
  <c r="BG18" i="5"/>
  <c r="BG11" i="5"/>
  <c r="BG15" i="5"/>
  <c r="BG19" i="5"/>
  <c r="R165" i="5" l="1"/>
  <c r="S148" i="5"/>
  <c r="S167" i="5" s="1"/>
  <c r="R148" i="5"/>
  <c r="R158" i="5" s="1"/>
  <c r="Q148" i="5"/>
  <c r="Q158" i="5" s="1"/>
  <c r="P148" i="5"/>
  <c r="P167" i="5" s="1"/>
  <c r="S147" i="5"/>
  <c r="S166" i="5" s="1"/>
  <c r="R147" i="5"/>
  <c r="R157" i="5" s="1"/>
  <c r="Q147" i="5"/>
  <c r="Q157" i="5" s="1"/>
  <c r="P147" i="5"/>
  <c r="P166" i="5" s="1"/>
  <c r="T146" i="5"/>
  <c r="T165" i="5" s="1"/>
  <c r="S146" i="5"/>
  <c r="S156" i="5" s="1"/>
  <c r="R146" i="5"/>
  <c r="R156" i="5" s="1"/>
  <c r="Q146" i="5"/>
  <c r="Q165" i="5" s="1"/>
  <c r="P146" i="5"/>
  <c r="P165" i="5" s="1"/>
  <c r="T145" i="5"/>
  <c r="T155" i="5" s="1"/>
  <c r="S145" i="5"/>
  <c r="S155" i="5" s="1"/>
  <c r="R145" i="5"/>
  <c r="R164" i="5" s="1"/>
  <c r="Q145" i="5"/>
  <c r="Q164" i="5" s="1"/>
  <c r="P145" i="5"/>
  <c r="P155" i="5" s="1"/>
  <c r="T144" i="5"/>
  <c r="T154" i="5" s="1"/>
  <c r="S144" i="5"/>
  <c r="S163" i="5" s="1"/>
  <c r="R144" i="5"/>
  <c r="R163" i="5" s="1"/>
  <c r="Q144" i="5"/>
  <c r="Q154" i="5" s="1"/>
  <c r="P144" i="5"/>
  <c r="P154" i="5" s="1"/>
  <c r="T143" i="5"/>
  <c r="T162" i="5" s="1"/>
  <c r="S143" i="5"/>
  <c r="S162" i="5" s="1"/>
  <c r="R143" i="5"/>
  <c r="R153" i="5" s="1"/>
  <c r="Q143" i="5"/>
  <c r="Q153" i="5" s="1"/>
  <c r="P143" i="5"/>
  <c r="P162" i="5" s="1"/>
  <c r="T142" i="5"/>
  <c r="T161" i="5" s="1"/>
  <c r="S142" i="5"/>
  <c r="S152" i="5" s="1"/>
  <c r="R142" i="5"/>
  <c r="R152" i="5" s="1"/>
  <c r="Q142" i="5"/>
  <c r="Q161" i="5" s="1"/>
  <c r="P142" i="5"/>
  <c r="P161" i="5" s="1"/>
  <c r="T141" i="5"/>
  <c r="T151" i="5" s="1"/>
  <c r="S141" i="5"/>
  <c r="S151" i="5" s="1"/>
  <c r="R141" i="5"/>
  <c r="R160" i="5" s="1"/>
  <c r="Q141" i="5"/>
  <c r="Q160" i="5" s="1"/>
  <c r="P141" i="5"/>
  <c r="P151" i="5" s="1"/>
  <c r="Q124" i="5"/>
  <c r="S115" i="5"/>
  <c r="R115" i="5"/>
  <c r="R125" i="5" s="1"/>
  <c r="Q115" i="5"/>
  <c r="Q134" i="5" s="1"/>
  <c r="P115" i="5"/>
  <c r="P125" i="5" s="1"/>
  <c r="S114" i="5"/>
  <c r="R114" i="5"/>
  <c r="R124" i="5" s="1"/>
  <c r="Q114" i="5"/>
  <c r="Q133" i="5" s="1"/>
  <c r="P114" i="5"/>
  <c r="P124" i="5" s="1"/>
  <c r="T113" i="5"/>
  <c r="S113" i="5"/>
  <c r="S132" i="5" s="1"/>
  <c r="R113" i="5"/>
  <c r="R132" i="5" s="1"/>
  <c r="Q113" i="5"/>
  <c r="Q123" i="5" s="1"/>
  <c r="P113" i="5"/>
  <c r="T112" i="5"/>
  <c r="T131" i="5" s="1"/>
  <c r="S112" i="5"/>
  <c r="S131" i="5" s="1"/>
  <c r="R112" i="5"/>
  <c r="R122" i="5" s="1"/>
  <c r="Q112" i="5"/>
  <c r="P112" i="5"/>
  <c r="P122" i="5" s="1"/>
  <c r="T111" i="5"/>
  <c r="T130" i="5" s="1"/>
  <c r="S111" i="5"/>
  <c r="S121" i="5" s="1"/>
  <c r="R111" i="5"/>
  <c r="Q111" i="5"/>
  <c r="Q130" i="5" s="1"/>
  <c r="P111" i="5"/>
  <c r="P130" i="5" s="1"/>
  <c r="T110" i="5"/>
  <c r="T120" i="5" s="1"/>
  <c r="S110" i="5"/>
  <c r="R110" i="5"/>
  <c r="R129" i="5" s="1"/>
  <c r="Q110" i="5"/>
  <c r="Q129" i="5" s="1"/>
  <c r="P110" i="5"/>
  <c r="P120" i="5" s="1"/>
  <c r="T109" i="5"/>
  <c r="S109" i="5"/>
  <c r="S128" i="5" s="1"/>
  <c r="R109" i="5"/>
  <c r="R128" i="5" s="1"/>
  <c r="Q109" i="5"/>
  <c r="Q119" i="5" s="1"/>
  <c r="P109" i="5"/>
  <c r="T108" i="5"/>
  <c r="T127" i="5" s="1"/>
  <c r="S108" i="5"/>
  <c r="S127" i="5" s="1"/>
  <c r="R108" i="5"/>
  <c r="R118" i="5" s="1"/>
  <c r="Q108" i="5"/>
  <c r="P108" i="5"/>
  <c r="P127" i="5" s="1"/>
  <c r="S65" i="5"/>
  <c r="S75" i="5" s="1"/>
  <c r="R65" i="5"/>
  <c r="R84" i="5" s="1"/>
  <c r="Q65" i="5"/>
  <c r="Q75" i="5" s="1"/>
  <c r="P65" i="5"/>
  <c r="P75" i="5" s="1"/>
  <c r="S64" i="5"/>
  <c r="S74" i="5" s="1"/>
  <c r="R64" i="5"/>
  <c r="R83" i="5" s="1"/>
  <c r="Q64" i="5"/>
  <c r="Q74" i="5" s="1"/>
  <c r="P64" i="5"/>
  <c r="P83" i="5" s="1"/>
  <c r="T63" i="5"/>
  <c r="T73" i="5" s="1"/>
  <c r="S63" i="5"/>
  <c r="S82" i="5" s="1"/>
  <c r="R63" i="5"/>
  <c r="R73" i="5" s="1"/>
  <c r="Q63" i="5"/>
  <c r="Q82" i="5" s="1"/>
  <c r="P63" i="5"/>
  <c r="P73" i="5" s="1"/>
  <c r="T62" i="5"/>
  <c r="T81" i="5" s="1"/>
  <c r="S62" i="5"/>
  <c r="S72" i="5" s="1"/>
  <c r="R62" i="5"/>
  <c r="R81" i="5" s="1"/>
  <c r="Q62" i="5"/>
  <c r="Q72" i="5" s="1"/>
  <c r="P62" i="5"/>
  <c r="P81" i="5" s="1"/>
  <c r="T61" i="5"/>
  <c r="T71" i="5" s="1"/>
  <c r="S61" i="5"/>
  <c r="S80" i="5" s="1"/>
  <c r="R61" i="5"/>
  <c r="R71" i="5" s="1"/>
  <c r="Q61" i="5"/>
  <c r="Q80" i="5" s="1"/>
  <c r="P61" i="5"/>
  <c r="P71" i="5" s="1"/>
  <c r="T60" i="5"/>
  <c r="T79" i="5" s="1"/>
  <c r="S60" i="5"/>
  <c r="S79" i="5" s="1"/>
  <c r="R60" i="5"/>
  <c r="R79" i="5" s="1"/>
  <c r="Q60" i="5"/>
  <c r="Q70" i="5" s="1"/>
  <c r="P60" i="5"/>
  <c r="P79" i="5" s="1"/>
  <c r="T59" i="5"/>
  <c r="T78" i="5" s="1"/>
  <c r="S59" i="5"/>
  <c r="S78" i="5" s="1"/>
  <c r="R59" i="5"/>
  <c r="R69" i="5" s="1"/>
  <c r="Q59" i="5"/>
  <c r="Q78" i="5" s="1"/>
  <c r="P59" i="5"/>
  <c r="P78" i="5" s="1"/>
  <c r="T58" i="5"/>
  <c r="T77" i="5" s="1"/>
  <c r="S58" i="5"/>
  <c r="S68" i="5" s="1"/>
  <c r="R58" i="5"/>
  <c r="R77" i="5" s="1"/>
  <c r="Q58" i="5"/>
  <c r="Q77" i="5" s="1"/>
  <c r="P58" i="5"/>
  <c r="P77" i="5" s="1"/>
  <c r="S31" i="5"/>
  <c r="S50" i="5" s="1"/>
  <c r="R31" i="5"/>
  <c r="R41" i="5" s="1"/>
  <c r="Q31" i="5"/>
  <c r="P31" i="5"/>
  <c r="P50" i="5" s="1"/>
  <c r="S30" i="5"/>
  <c r="S49" i="5" s="1"/>
  <c r="R30" i="5"/>
  <c r="R40" i="5" s="1"/>
  <c r="Q30" i="5"/>
  <c r="P30" i="5"/>
  <c r="P40" i="5" s="1"/>
  <c r="T29" i="5"/>
  <c r="T48" i="5" s="1"/>
  <c r="S29" i="5"/>
  <c r="S39" i="5" s="1"/>
  <c r="R29" i="5"/>
  <c r="Q29" i="5"/>
  <c r="Q48" i="5" s="1"/>
  <c r="P29" i="5"/>
  <c r="P48" i="5" s="1"/>
  <c r="T28" i="5"/>
  <c r="T38" i="5" s="1"/>
  <c r="S28" i="5"/>
  <c r="R28" i="5"/>
  <c r="R38" i="5" s="1"/>
  <c r="Q28" i="5"/>
  <c r="Q47" i="5" s="1"/>
  <c r="P28" i="5"/>
  <c r="P38" i="5" s="1"/>
  <c r="T27" i="5"/>
  <c r="S27" i="5"/>
  <c r="S46" i="5" s="1"/>
  <c r="R27" i="5"/>
  <c r="R46" i="5" s="1"/>
  <c r="Q27" i="5"/>
  <c r="Q37" i="5" s="1"/>
  <c r="P27" i="5"/>
  <c r="T26" i="5"/>
  <c r="T45" i="5" s="1"/>
  <c r="S26" i="5"/>
  <c r="S45" i="5" s="1"/>
  <c r="R26" i="5"/>
  <c r="R36" i="5" s="1"/>
  <c r="Q26" i="5"/>
  <c r="P26" i="5"/>
  <c r="P45" i="5" s="1"/>
  <c r="T25" i="5"/>
  <c r="T44" i="5" s="1"/>
  <c r="S25" i="5"/>
  <c r="S35" i="5" s="1"/>
  <c r="R25" i="5"/>
  <c r="Q25" i="5"/>
  <c r="Q44" i="5" s="1"/>
  <c r="P25" i="5"/>
  <c r="P44" i="5" s="1"/>
  <c r="T24" i="5"/>
  <c r="T34" i="5" s="1"/>
  <c r="S24" i="5"/>
  <c r="R24" i="5"/>
  <c r="R43" i="5" s="1"/>
  <c r="Q24" i="5"/>
  <c r="Q43" i="5" s="1"/>
  <c r="P24" i="5"/>
  <c r="P34" i="5" s="1"/>
  <c r="P80" i="5" l="1"/>
  <c r="S81" i="5"/>
  <c r="R82" i="5"/>
  <c r="T35" i="5"/>
  <c r="Q73" i="5"/>
  <c r="P39" i="5"/>
  <c r="P74" i="5"/>
  <c r="Q83" i="5"/>
  <c r="Q121" i="5"/>
  <c r="S36" i="5"/>
  <c r="T39" i="5"/>
  <c r="T122" i="5"/>
  <c r="Z127" i="5" s="1"/>
  <c r="P131" i="5"/>
  <c r="Q34" i="5"/>
  <c r="R37" i="5"/>
  <c r="S40" i="5"/>
  <c r="P70" i="5"/>
  <c r="P118" i="5"/>
  <c r="R133" i="5"/>
  <c r="P35" i="5"/>
  <c r="Q38" i="5"/>
  <c r="S41" i="5"/>
  <c r="T70" i="5"/>
  <c r="T80" i="5"/>
  <c r="Q84" i="5"/>
  <c r="S119" i="5"/>
  <c r="R134" i="5"/>
  <c r="R47" i="5"/>
  <c r="R151" i="5"/>
  <c r="S154" i="5"/>
  <c r="P158" i="5"/>
  <c r="R34" i="5"/>
  <c r="P36" i="5"/>
  <c r="S37" i="5"/>
  <c r="Q39" i="5"/>
  <c r="P41" i="5"/>
  <c r="Q81" i="5"/>
  <c r="T82" i="5"/>
  <c r="S84" i="5"/>
  <c r="S118" i="5"/>
  <c r="Z123" i="5" s="1"/>
  <c r="Q120" i="5"/>
  <c r="T121" i="5"/>
  <c r="R123" i="5"/>
  <c r="Y122" i="5" s="1"/>
  <c r="AB122" i="5" s="1"/>
  <c r="AC122" i="5" s="1"/>
  <c r="Q152" i="5"/>
  <c r="R155" i="5"/>
  <c r="Y155" i="5" s="1"/>
  <c r="AB155" i="5" s="1"/>
  <c r="AC155" i="5" s="1"/>
  <c r="P163" i="5"/>
  <c r="Q166" i="5"/>
  <c r="P49" i="5"/>
  <c r="R68" i="5"/>
  <c r="Y70" i="5" s="1"/>
  <c r="AB70" i="5" s="1"/>
  <c r="AC70" i="5" s="1"/>
  <c r="S71" i="5"/>
  <c r="T118" i="5"/>
  <c r="R120" i="5"/>
  <c r="S123" i="5"/>
  <c r="Q125" i="5"/>
  <c r="Y120" i="5" s="1"/>
  <c r="AB120" i="5" s="1"/>
  <c r="AC120" i="5" s="1"/>
  <c r="P153" i="5"/>
  <c r="Q156" i="5"/>
  <c r="T163" i="5"/>
  <c r="Q167" i="5"/>
  <c r="Q35" i="5"/>
  <c r="T36" i="5"/>
  <c r="Z42" i="5" s="1"/>
  <c r="Q69" i="5"/>
  <c r="R72" i="5"/>
  <c r="R80" i="5"/>
  <c r="P82" i="5"/>
  <c r="S83" i="5"/>
  <c r="R119" i="5"/>
  <c r="P121" i="5"/>
  <c r="S122" i="5"/>
  <c r="T153" i="5"/>
  <c r="P157" i="5"/>
  <c r="S164" i="5"/>
  <c r="Z153" i="5"/>
  <c r="Y153" i="5"/>
  <c r="AB153" i="5" s="1"/>
  <c r="AC153" i="5" s="1"/>
  <c r="Z155" i="5"/>
  <c r="Z156" i="5"/>
  <c r="Y156" i="5"/>
  <c r="AB156" i="5" s="1"/>
  <c r="AC156" i="5" s="1"/>
  <c r="P160" i="5"/>
  <c r="S161" i="5"/>
  <c r="R162" i="5"/>
  <c r="Q151" i="5"/>
  <c r="P152" i="5"/>
  <c r="T152" i="5"/>
  <c r="S153" i="5"/>
  <c r="R154" i="5"/>
  <c r="Y154" i="5" s="1"/>
  <c r="AB154" i="5" s="1"/>
  <c r="AC154" i="5" s="1"/>
  <c r="Q155" i="5"/>
  <c r="P156" i="5"/>
  <c r="T156" i="5"/>
  <c r="Y160" i="5" s="1"/>
  <c r="AB160" i="5" s="1"/>
  <c r="AC160" i="5" s="1"/>
  <c r="S157" i="5"/>
  <c r="S158" i="5"/>
  <c r="S160" i="5"/>
  <c r="R161" i="5"/>
  <c r="Q162" i="5"/>
  <c r="Q163" i="5"/>
  <c r="P164" i="5"/>
  <c r="T164" i="5"/>
  <c r="S165" i="5"/>
  <c r="R166" i="5"/>
  <c r="R167" i="5"/>
  <c r="T160" i="5"/>
  <c r="Q118" i="5"/>
  <c r="Q127" i="5"/>
  <c r="P119" i="5"/>
  <c r="P128" i="5"/>
  <c r="T119" i="5"/>
  <c r="Z126" i="5" s="1"/>
  <c r="T128" i="5"/>
  <c r="S120" i="5"/>
  <c r="S129" i="5"/>
  <c r="R121" i="5"/>
  <c r="Y121" i="5" s="1"/>
  <c r="AB121" i="5" s="1"/>
  <c r="AC121" i="5" s="1"/>
  <c r="R130" i="5"/>
  <c r="Q122" i="5"/>
  <c r="Q131" i="5"/>
  <c r="P123" i="5"/>
  <c r="P132" i="5"/>
  <c r="T123" i="5"/>
  <c r="T132" i="5"/>
  <c r="S124" i="5"/>
  <c r="S133" i="5"/>
  <c r="S125" i="5"/>
  <c r="S134" i="5"/>
  <c r="R127" i="5"/>
  <c r="Q128" i="5"/>
  <c r="P129" i="5"/>
  <c r="T129" i="5"/>
  <c r="S130" i="5"/>
  <c r="R131" i="5"/>
  <c r="Q132" i="5"/>
  <c r="P133" i="5"/>
  <c r="P134" i="5"/>
  <c r="P68" i="5"/>
  <c r="T68" i="5"/>
  <c r="S69" i="5"/>
  <c r="R70" i="5"/>
  <c r="Y71" i="5" s="1"/>
  <c r="AB71" i="5" s="1"/>
  <c r="AC71" i="5" s="1"/>
  <c r="Q71" i="5"/>
  <c r="P72" i="5"/>
  <c r="T72" i="5"/>
  <c r="Z77" i="5" s="1"/>
  <c r="S73" i="5"/>
  <c r="R74" i="5"/>
  <c r="Z72" i="5" s="1"/>
  <c r="R75" i="5"/>
  <c r="Q68" i="5"/>
  <c r="P69" i="5"/>
  <c r="T69" i="5"/>
  <c r="S70" i="5"/>
  <c r="S77" i="5"/>
  <c r="R78" i="5"/>
  <c r="Q79" i="5"/>
  <c r="P84" i="5"/>
  <c r="S34" i="5"/>
  <c r="Y39" i="5" s="1"/>
  <c r="AB39" i="5" s="1"/>
  <c r="AC39" i="5" s="1"/>
  <c r="S43" i="5"/>
  <c r="R35" i="5"/>
  <c r="R44" i="5"/>
  <c r="Q36" i="5"/>
  <c r="Q45" i="5"/>
  <c r="P37" i="5"/>
  <c r="P46" i="5"/>
  <c r="T37" i="5"/>
  <c r="T46" i="5"/>
  <c r="S38" i="5"/>
  <c r="S47" i="5"/>
  <c r="R39" i="5"/>
  <c r="Y38" i="5" s="1"/>
  <c r="AB38" i="5" s="1"/>
  <c r="AC38" i="5" s="1"/>
  <c r="R48" i="5"/>
  <c r="Q40" i="5"/>
  <c r="Q49" i="5"/>
  <c r="Q41" i="5"/>
  <c r="Q50" i="5"/>
  <c r="P43" i="5"/>
  <c r="T43" i="5"/>
  <c r="S44" i="5"/>
  <c r="R45" i="5"/>
  <c r="Q46" i="5"/>
  <c r="P47" i="5"/>
  <c r="T47" i="5"/>
  <c r="S48" i="5"/>
  <c r="R49" i="5"/>
  <c r="R50" i="5"/>
  <c r="Z70" i="5" l="1"/>
  <c r="Z41" i="5"/>
  <c r="Y40" i="5"/>
  <c r="AB40" i="5" s="1"/>
  <c r="AC40" i="5" s="1"/>
  <c r="Y72" i="5"/>
  <c r="AB72" i="5" s="1"/>
  <c r="AC72" i="5" s="1"/>
  <c r="Y41" i="5"/>
  <c r="AB41" i="5" s="1"/>
  <c r="AC41" i="5" s="1"/>
  <c r="Y123" i="5"/>
  <c r="AB123" i="5" s="1"/>
  <c r="AC123" i="5" s="1"/>
  <c r="Y126" i="5"/>
  <c r="AB126" i="5" s="1"/>
  <c r="AC126" i="5" s="1"/>
  <c r="Z35" i="5"/>
  <c r="Y42" i="5"/>
  <c r="AB42" i="5" s="1"/>
  <c r="AC42" i="5" s="1"/>
  <c r="Z119" i="5"/>
  <c r="Z152" i="5"/>
  <c r="Z121" i="5"/>
  <c r="Z39" i="5"/>
  <c r="Z40" i="5"/>
  <c r="Z122" i="5"/>
  <c r="Y158" i="5"/>
  <c r="AB158" i="5" s="1"/>
  <c r="AC158" i="5" s="1"/>
  <c r="Y77" i="5"/>
  <c r="AB77" i="5" s="1"/>
  <c r="AC77" i="5" s="1"/>
  <c r="Y35" i="5"/>
  <c r="AB35" i="5" s="1"/>
  <c r="AC35" i="5" s="1"/>
  <c r="Y125" i="5"/>
  <c r="AB125" i="5" s="1"/>
  <c r="AC125" i="5" s="1"/>
  <c r="Y127" i="5"/>
  <c r="AB127" i="5" s="1"/>
  <c r="AC127" i="5" s="1"/>
  <c r="Z34" i="5"/>
  <c r="Z120" i="5"/>
  <c r="Y159" i="5"/>
  <c r="AB159" i="5" s="1"/>
  <c r="AC159" i="5" s="1"/>
  <c r="Y152" i="5"/>
  <c r="AB152" i="5" s="1"/>
  <c r="AC152" i="5" s="1"/>
  <c r="Z160" i="5"/>
  <c r="Z158" i="5"/>
  <c r="Z159" i="5"/>
  <c r="Z157" i="5"/>
  <c r="Y157" i="5"/>
  <c r="AB157" i="5" s="1"/>
  <c r="AC157" i="5" s="1"/>
  <c r="Z154" i="5"/>
  <c r="Y151" i="5"/>
  <c r="AB151" i="5" s="1"/>
  <c r="AC151" i="5" s="1"/>
  <c r="Z151" i="5"/>
  <c r="Y124" i="5"/>
  <c r="AB124" i="5" s="1"/>
  <c r="AC124" i="5" s="1"/>
  <c r="Z124" i="5"/>
  <c r="Y119" i="5"/>
  <c r="AB119" i="5" s="1"/>
  <c r="AC119" i="5" s="1"/>
  <c r="Z125" i="5"/>
  <c r="Z118" i="5"/>
  <c r="Y118" i="5"/>
  <c r="AB118" i="5" s="1"/>
  <c r="AC118" i="5" s="1"/>
  <c r="Z75" i="5"/>
  <c r="Y75" i="5"/>
  <c r="AB75" i="5" s="1"/>
  <c r="AC75" i="5" s="1"/>
  <c r="Z71" i="5"/>
  <c r="Z74" i="5"/>
  <c r="Y74" i="5"/>
  <c r="AB74" i="5" s="1"/>
  <c r="AC74" i="5" s="1"/>
  <c r="Z73" i="5"/>
  <c r="Y73" i="5"/>
  <c r="AB73" i="5" s="1"/>
  <c r="AC73" i="5" s="1"/>
  <c r="Z76" i="5"/>
  <c r="Y76" i="5"/>
  <c r="AB76" i="5" s="1"/>
  <c r="AC76" i="5" s="1"/>
  <c r="Z69" i="5"/>
  <c r="Y69" i="5"/>
  <c r="AB69" i="5" s="1"/>
  <c r="AC69" i="5" s="1"/>
  <c r="Z68" i="5"/>
  <c r="Y68" i="5"/>
  <c r="AB68" i="5" s="1"/>
  <c r="AC68" i="5" s="1"/>
  <c r="Z43" i="5"/>
  <c r="Y43" i="5"/>
  <c r="AB43" i="5" s="1"/>
  <c r="AC43" i="5" s="1"/>
  <c r="Z38" i="5"/>
  <c r="Y34" i="5"/>
  <c r="AB34" i="5" s="1"/>
  <c r="AC34" i="5" s="1"/>
  <c r="Z36" i="5"/>
  <c r="Y36" i="5"/>
  <c r="AB36" i="5" s="1"/>
  <c r="AC36" i="5" s="1"/>
  <c r="Y37" i="5"/>
  <c r="AB37" i="5" s="1"/>
  <c r="AC37" i="5" s="1"/>
  <c r="Z37" i="5"/>
  <c r="AC45" i="5" l="1"/>
  <c r="AC162" i="5"/>
  <c r="AC129" i="5"/>
  <c r="AC79" i="5"/>
</calcChain>
</file>

<file path=xl/sharedStrings.xml><?xml version="1.0" encoding="utf-8"?>
<sst xmlns="http://schemas.openxmlformats.org/spreadsheetml/2006/main" count="4867" uniqueCount="800">
  <si>
    <t>L</t>
    <phoneticPr fontId="1" type="noConversion"/>
  </si>
  <si>
    <t>LENGTH</t>
    <phoneticPr fontId="1" type="noConversion"/>
  </si>
  <si>
    <t>WIDTH</t>
    <phoneticPr fontId="1" type="noConversion"/>
  </si>
  <si>
    <t>AREA</t>
    <phoneticPr fontId="1" type="noConversion"/>
  </si>
  <si>
    <t>mouse1</t>
  </si>
  <si>
    <t>mouse2</t>
  </si>
  <si>
    <t>mouse3</t>
  </si>
  <si>
    <t>mouse4</t>
  </si>
  <si>
    <t>mouse5</t>
  </si>
  <si>
    <t>Fig2c</t>
  </si>
  <si>
    <t>Fig3c</t>
  </si>
  <si>
    <t>Abs</t>
  </si>
  <si>
    <t>calculation of concetraton (X) as x=y-1875/24.578</t>
    <phoneticPr fontId="2" type="noConversion"/>
  </si>
  <si>
    <t>A</t>
  </si>
  <si>
    <t>blank</t>
    <phoneticPr fontId="2" type="noConversion"/>
  </si>
  <si>
    <t>mice 1</t>
    <phoneticPr fontId="2" type="noConversion"/>
  </si>
  <si>
    <t>mice 3</t>
    <phoneticPr fontId="2" type="noConversion"/>
  </si>
  <si>
    <t>mice 6</t>
    <phoneticPr fontId="2" type="noConversion"/>
  </si>
  <si>
    <t>miec 9</t>
    <phoneticPr fontId="2" type="noConversion"/>
  </si>
  <si>
    <t>B</t>
  </si>
  <si>
    <t>mice 4</t>
    <phoneticPr fontId="2" type="noConversion"/>
  </si>
  <si>
    <t>mice 9</t>
    <phoneticPr fontId="2" type="noConversion"/>
  </si>
  <si>
    <t>C</t>
  </si>
  <si>
    <t>mice 7</t>
    <phoneticPr fontId="2" type="noConversion"/>
  </si>
  <si>
    <t>D</t>
  </si>
  <si>
    <t>mice 2</t>
    <phoneticPr fontId="2" type="noConversion"/>
  </si>
  <si>
    <t>mice 10</t>
    <phoneticPr fontId="2" type="noConversion"/>
  </si>
  <si>
    <t>E</t>
  </si>
  <si>
    <t>mice 5</t>
    <phoneticPr fontId="2" type="noConversion"/>
  </si>
  <si>
    <t>F</t>
  </si>
  <si>
    <t>u</t>
    <phoneticPr fontId="2" type="noConversion"/>
  </si>
  <si>
    <t>mice2</t>
    <phoneticPr fontId="2" type="noConversion"/>
  </si>
  <si>
    <t>mice 8</t>
    <phoneticPr fontId="2" type="noConversion"/>
  </si>
  <si>
    <t>miec 10</t>
    <phoneticPr fontId="2" type="noConversion"/>
  </si>
  <si>
    <t>G</t>
  </si>
  <si>
    <t>H</t>
  </si>
  <si>
    <t>convert to g/kg as mean * molecualr weight of alcohol (further detail refer from age on the folder)</t>
  </si>
  <si>
    <t>according to kit 1%= 170mM hence our percentage calculate as 170/1*our value of alcohol in percentage</t>
    <phoneticPr fontId="2" type="noConversion"/>
  </si>
  <si>
    <t>mean (mM)</t>
    <phoneticPr fontId="2" type="noConversion"/>
  </si>
  <si>
    <t>SD</t>
    <phoneticPr fontId="2" type="noConversion"/>
  </si>
  <si>
    <t>Mean (M)</t>
    <phoneticPr fontId="2" type="noConversion"/>
  </si>
  <si>
    <t>Mean (g/kg/day)</t>
    <phoneticPr fontId="2" type="noConversion"/>
  </si>
  <si>
    <t>alcohol in mM</t>
    <phoneticPr fontId="2" type="noConversion"/>
  </si>
  <si>
    <t>alcohol in mg/dL</t>
    <phoneticPr fontId="2" type="noConversion"/>
  </si>
  <si>
    <t>mean</t>
    <phoneticPr fontId="2" type="noConversion"/>
  </si>
  <si>
    <t>serum</t>
    <phoneticPr fontId="2" type="noConversion"/>
  </si>
  <si>
    <t>Normal serum</t>
    <phoneticPr fontId="2" type="noConversion"/>
  </si>
  <si>
    <t>Alcohol excertion in cancer mice (urine)</t>
  </si>
  <si>
    <t>Alcohol absorbtion in cancer mice (serum)</t>
  </si>
  <si>
    <t>Alcohol excertion in alcohol treated mice (urine)</t>
  </si>
  <si>
    <t>Alcohol absorbtion in alcohol treated mice (serum)</t>
  </si>
  <si>
    <t>watr intake per day</t>
    <phoneticPr fontId="1" type="noConversion"/>
  </si>
  <si>
    <t>alcohol consumed per day</t>
    <phoneticPr fontId="1" type="noConversion"/>
  </si>
  <si>
    <t>urine</t>
    <phoneticPr fontId="1" type="noConversion"/>
  </si>
  <si>
    <t>Ratio of urine and water</t>
  </si>
  <si>
    <t>water intake</t>
    <phoneticPr fontId="1" type="noConversion"/>
  </si>
  <si>
    <t>water (ml) containing 35% alcohol condumed/days</t>
    <phoneticPr fontId="1" type="noConversion"/>
  </si>
  <si>
    <t>mean (ml)</t>
    <phoneticPr fontId="1" type="noConversion"/>
  </si>
  <si>
    <t>SD</t>
    <phoneticPr fontId="1" type="noConversion"/>
  </si>
  <si>
    <t>g/kg/day  (equation is m=density*volume*0.52)</t>
    <phoneticPr fontId="1" type="noConversion"/>
  </si>
  <si>
    <t>mean</t>
    <phoneticPr fontId="1" type="noConversion"/>
  </si>
  <si>
    <t>sd</t>
    <phoneticPr fontId="1" type="noConversion"/>
  </si>
  <si>
    <t>mice no.</t>
    <phoneticPr fontId="1" type="noConversion"/>
  </si>
  <si>
    <t>x= alcohol concentration in g/kg/day</t>
    <phoneticPr fontId="1" type="noConversion"/>
  </si>
  <si>
    <t>y= mean value of water drinking by mice / day</t>
    <phoneticPr fontId="1" type="noConversion"/>
  </si>
  <si>
    <t>water Intake</t>
  </si>
  <si>
    <t>alcohol %</t>
    <phoneticPr fontId="1" type="noConversion"/>
  </si>
  <si>
    <t>mean</t>
    <phoneticPr fontId="1" type="noConversion"/>
  </si>
  <si>
    <t xml:space="preserve">Alcohol  MICE </t>
  </si>
  <si>
    <t>NORMAL</t>
    <phoneticPr fontId="4" type="noConversion"/>
  </si>
  <si>
    <t xml:space="preserve">NORMAL </t>
    <phoneticPr fontId="4" type="noConversion"/>
  </si>
  <si>
    <r>
      <t>Intake</t>
    </r>
    <r>
      <rPr>
        <sz val="10"/>
        <color rgb="FF000000"/>
        <rFont val="Times New Roman"/>
        <family val="1"/>
      </rPr>
      <t xml:space="preserve">  (ml/day)</t>
    </r>
  </si>
  <si>
    <r>
      <t xml:space="preserve">Intake </t>
    </r>
    <r>
      <rPr>
        <b/>
        <sz val="9"/>
        <color rgb="FF000000"/>
        <rFont val="Times New Roman"/>
        <family val="1"/>
      </rPr>
      <t>Human alcohol dose
(g/kg/day)</t>
    </r>
    <r>
      <rPr>
        <b/>
        <sz val="10"/>
        <color rgb="FF000000"/>
        <rFont val="Times New Roman"/>
        <family val="1"/>
      </rPr>
      <t xml:space="preserve">
</t>
    </r>
    <r>
      <rPr>
        <sz val="10"/>
        <color rgb="FF000000"/>
        <rFont val="Times New Roman"/>
        <family val="1"/>
      </rPr>
      <t xml:space="preserve"> </t>
    </r>
  </si>
  <si>
    <r>
      <t>Intake</t>
    </r>
    <r>
      <rPr>
        <sz val="10"/>
        <color rgb="FF000000"/>
        <rFont val="Times New Roman"/>
        <family val="1"/>
      </rPr>
      <t xml:space="preserve">  (ml/day) </t>
    </r>
    <r>
      <rPr>
        <b/>
        <sz val="10"/>
        <color rgb="FF000000"/>
        <rFont val="Times New Roman"/>
        <family val="1"/>
      </rPr>
      <t>consider 40% alcohol</t>
    </r>
  </si>
  <si>
    <r>
      <t xml:space="preserve">Intake Human alcohol dose
(g/60kg/day)
</t>
    </r>
    <r>
      <rPr>
        <sz val="10"/>
        <color rgb="FF000000"/>
        <rFont val="Times New Roman"/>
        <family val="1"/>
      </rPr>
      <t xml:space="preserve"> </t>
    </r>
  </si>
  <si>
    <r>
      <t xml:space="preserve">Intake Human alcohol dose
(g/kg/day)
</t>
    </r>
    <r>
      <rPr>
        <sz val="10"/>
        <color rgb="FF000000"/>
        <rFont val="Times New Roman"/>
        <family val="1"/>
      </rPr>
      <t xml:space="preserve"> </t>
    </r>
  </si>
  <si>
    <t>Convert into mice by mutypling 12</t>
    <phoneticPr fontId="4" type="noConversion"/>
  </si>
  <si>
    <t xml:space="preserve">300~400 </t>
  </si>
  <si>
    <t>MEAN</t>
    <phoneticPr fontId="4" type="noConversion"/>
  </si>
  <si>
    <t>GASTRITIS</t>
    <phoneticPr fontId="4" type="noConversion"/>
  </si>
  <si>
    <t>CANCER</t>
    <phoneticPr fontId="4" type="noConversion"/>
  </si>
  <si>
    <t>Convert into mice by mutypling 12</t>
  </si>
  <si>
    <t>Human Alcohol intake</t>
  </si>
  <si>
    <t>Photometric1</t>
  </si>
  <si>
    <t>Plate 1: Plate 1 - Wavelength: 520 nm</t>
  </si>
  <si>
    <t>Sample</t>
  </si>
  <si>
    <t>Cancer serum</t>
    <phoneticPr fontId="2" type="noConversion"/>
  </si>
  <si>
    <t>human 1</t>
    <phoneticPr fontId="2" type="noConversion"/>
  </si>
  <si>
    <t>human 3</t>
    <phoneticPr fontId="2" type="noConversion"/>
  </si>
  <si>
    <t>human 6</t>
    <phoneticPr fontId="2" type="noConversion"/>
  </si>
  <si>
    <t>human 9</t>
    <phoneticPr fontId="2" type="noConversion"/>
  </si>
  <si>
    <t>human  1</t>
    <phoneticPr fontId="2" type="noConversion"/>
  </si>
  <si>
    <t>human 4</t>
    <phoneticPr fontId="2" type="noConversion"/>
  </si>
  <si>
    <t>human 7</t>
    <phoneticPr fontId="2" type="noConversion"/>
  </si>
  <si>
    <t>human 2</t>
    <phoneticPr fontId="2" type="noConversion"/>
  </si>
  <si>
    <t>human 10</t>
    <phoneticPr fontId="2" type="noConversion"/>
  </si>
  <si>
    <t>human 5</t>
    <phoneticPr fontId="2" type="noConversion"/>
  </si>
  <si>
    <t>human 8</t>
    <phoneticPr fontId="2" type="noConversion"/>
  </si>
  <si>
    <t>Mean (g/60kg/day)</t>
    <phoneticPr fontId="2" type="noConversion"/>
  </si>
  <si>
    <t>mean (g.kg/day)</t>
    <phoneticPr fontId="2" type="noConversion"/>
  </si>
  <si>
    <t>Gastritis serum</t>
    <phoneticPr fontId="2" type="noConversion"/>
  </si>
  <si>
    <t>Mean (g/kg/day)</t>
  </si>
  <si>
    <t>Mean (g60/kg/day)</t>
    <phoneticPr fontId="2" type="noConversion"/>
  </si>
  <si>
    <t>Plate 1: Plate 1 - Wavelength: 340 nm</t>
    <phoneticPr fontId="2" type="noConversion"/>
  </si>
  <si>
    <t>A2=after incubation</t>
    <phoneticPr fontId="2" type="noConversion"/>
  </si>
  <si>
    <t>untreated</t>
    <phoneticPr fontId="2" type="noConversion"/>
  </si>
  <si>
    <t>alcohol</t>
    <phoneticPr fontId="2" type="noConversion"/>
  </si>
  <si>
    <t xml:space="preserve">mice 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</si>
  <si>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</si>
  <si>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</si>
  <si>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</si>
  <si>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</si>
  <si>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</si>
  <si>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</si>
  <si>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</si>
  <si>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</si>
  <si>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</si>
  <si>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</si>
  <si>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A1=before incubation</t>
    <phoneticPr fontId="2" type="noConversion"/>
  </si>
  <si>
    <t>MEAN</t>
    <phoneticPr fontId="2" type="noConversion"/>
  </si>
  <si>
    <t>A2</t>
    <phoneticPr fontId="2" type="noConversion"/>
  </si>
  <si>
    <t>A1</t>
    <phoneticPr fontId="2" type="noConversion"/>
  </si>
  <si>
    <t>BLANK</t>
    <phoneticPr fontId="2" type="noConversion"/>
  </si>
  <si>
    <t>SAMPLE</t>
    <phoneticPr fontId="2" type="noConversion"/>
  </si>
  <si>
    <t>A2-A1</t>
    <phoneticPr fontId="2" type="noConversion"/>
  </si>
  <si>
    <t>SAMPLE -BLANK</t>
    <phoneticPr fontId="2" type="noConversion"/>
  </si>
  <si>
    <t>/6.22*.5</t>
    <phoneticPr fontId="2" type="noConversion"/>
  </si>
  <si>
    <t>1.5/.05/20*1000</t>
    <phoneticPr fontId="2" type="noConversion"/>
  </si>
  <si>
    <t>1.5/.05/20*1000</t>
  </si>
  <si>
    <t xml:space="preserve">Non-alcohol (untreated) : urine (ml) /days: give normal water </t>
    <phoneticPr fontId="2" type="noConversion"/>
  </si>
  <si>
    <t>Untreated mice (just give normal water to calculate water intake in mice)</t>
    <phoneticPr fontId="2" type="noConversion"/>
  </si>
  <si>
    <t>water intake</t>
    <phoneticPr fontId="2" type="noConversion"/>
  </si>
  <si>
    <t>water (ml)condumed/days</t>
    <phoneticPr fontId="2" type="noConversion"/>
  </si>
  <si>
    <t>mean (ml)</t>
    <phoneticPr fontId="2" type="noConversion"/>
  </si>
  <si>
    <t>mice no.</t>
    <phoneticPr fontId="2" type="noConversion"/>
  </si>
  <si>
    <t>NORMAL MICE (mice give alcohol but have no gastritis)</t>
    <phoneticPr fontId="2" type="noConversion"/>
  </si>
  <si>
    <t>urine (ml/day)</t>
    <phoneticPr fontId="2" type="noConversion"/>
  </si>
  <si>
    <t>SD</t>
    <phoneticPr fontId="2" type="noConversion"/>
  </si>
  <si>
    <t>uneradicated cancer</t>
    <phoneticPr fontId="2" type="noConversion"/>
  </si>
  <si>
    <t>Alcohol mouse dose</t>
    <phoneticPr fontId="1" type="noConversion"/>
  </si>
  <si>
    <t>Alcohol human dose</t>
    <phoneticPr fontId="1" type="noConversion"/>
  </si>
  <si>
    <t xml:space="preserve">Reported Data </t>
    <phoneticPr fontId="1" type="noConversion"/>
  </si>
  <si>
    <t>Cancer</t>
    <phoneticPr fontId="1" type="noConversion"/>
  </si>
  <si>
    <t>5g/kg/day</t>
    <phoneticPr fontId="1" type="noConversion"/>
  </si>
  <si>
    <t>0.4g/kg/day</t>
    <phoneticPr fontId="1" type="noConversion"/>
  </si>
  <si>
    <t>0.5g/kg/day</t>
    <phoneticPr fontId="1" type="noConversion"/>
  </si>
  <si>
    <t>Moy et al., (Cancer Epidemiology Biomarkers and Prevention, 19(9), 2287-2297</t>
    <phoneticPr fontId="1" type="noConversion"/>
  </si>
  <si>
    <t>Gastritis</t>
    <phoneticPr fontId="1" type="noConversion"/>
  </si>
  <si>
    <t>2g/kg/day</t>
    <phoneticPr fontId="1" type="noConversion"/>
  </si>
  <si>
    <t>0.2g/kg/day</t>
    <phoneticPr fontId="1" type="noConversion"/>
  </si>
  <si>
    <t>0.18g/kg/day</t>
    <phoneticPr fontId="1" type="noConversion"/>
  </si>
  <si>
    <t>No effect</t>
    <phoneticPr fontId="1" type="noConversion"/>
  </si>
  <si>
    <t>&gt;1.5g/kg/day</t>
    <phoneticPr fontId="1" type="noConversion"/>
  </si>
  <si>
    <t>0.12g/kg/day</t>
    <phoneticPr fontId="1" type="noConversion"/>
  </si>
  <si>
    <t>Epithelial damage</t>
    <phoneticPr fontId="2" type="noConversion"/>
  </si>
  <si>
    <t>Inflammation</t>
    <phoneticPr fontId="2" type="noConversion"/>
  </si>
  <si>
    <t>Atrophy</t>
    <phoneticPr fontId="2" type="noConversion"/>
  </si>
  <si>
    <t>Tumor</t>
    <phoneticPr fontId="2" type="noConversion"/>
  </si>
  <si>
    <t>mice 1</t>
    <phoneticPr fontId="2" type="noConversion"/>
  </si>
  <si>
    <t>mice2</t>
    <phoneticPr fontId="2" type="noConversion"/>
  </si>
  <si>
    <t>mice3</t>
    <phoneticPr fontId="2" type="noConversion"/>
  </si>
  <si>
    <t>mice4</t>
    <phoneticPr fontId="2" type="noConversion"/>
  </si>
  <si>
    <t>mice5</t>
    <phoneticPr fontId="2" type="noConversion"/>
  </si>
  <si>
    <t>L</t>
  </si>
  <si>
    <t>M</t>
  </si>
  <si>
    <t>Dose translation from animal to human studies revisited</t>
  </si>
  <si>
    <t>Reference:</t>
  </si>
  <si>
    <t>concentration standard</t>
  </si>
  <si>
    <t>Ex/Em=365/435</t>
  </si>
  <si>
    <t>untreated</t>
  </si>
  <si>
    <t>alcohol</t>
  </si>
  <si>
    <t>average</t>
  </si>
  <si>
    <t>hp</t>
  </si>
  <si>
    <t>hp+alcohol</t>
  </si>
  <si>
    <t>Untreated</t>
  </si>
  <si>
    <t>Alcohol</t>
  </si>
  <si>
    <t>HP</t>
  </si>
  <si>
    <t>Alcohol+HP</t>
  </si>
  <si>
    <t>Treatment group</t>
  </si>
  <si>
    <t>IHC of IL10 analysis in mouse tissue samples (n=5)</t>
  </si>
  <si>
    <t>qPCR of IL10 analysis in mouse tissue samples (n=5)</t>
  </si>
  <si>
    <t>GROUP1</t>
    <phoneticPr fontId="1" type="noConversion"/>
  </si>
  <si>
    <t>GAPDH</t>
    <phoneticPr fontId="1" type="noConversion"/>
  </si>
  <si>
    <t>MEAN</t>
    <phoneticPr fontId="1" type="noConversion"/>
  </si>
  <si>
    <t>SD</t>
    <phoneticPr fontId="1" type="noConversion"/>
  </si>
  <si>
    <t>ΔΔCT</t>
    <phoneticPr fontId="1" type="noConversion"/>
  </si>
  <si>
    <t>2^-ΔΔCT</t>
    <phoneticPr fontId="1" type="noConversion"/>
  </si>
  <si>
    <t xml:space="preserve"> CT 1</t>
    <phoneticPr fontId="1" type="noConversion"/>
  </si>
  <si>
    <t>CT 2</t>
    <phoneticPr fontId="1" type="noConversion"/>
  </si>
  <si>
    <t>CT 3</t>
    <phoneticPr fontId="1" type="noConversion"/>
  </si>
  <si>
    <t xml:space="preserve">CT 1 </t>
    <phoneticPr fontId="1" type="noConversion"/>
  </si>
  <si>
    <r>
      <rPr>
        <b/>
        <sz val="11"/>
        <color theme="1"/>
        <rFont val="Times New Roman"/>
        <family val="1"/>
      </rPr>
      <t>Δ</t>
    </r>
    <r>
      <rPr>
        <b/>
        <sz val="11"/>
        <color theme="1"/>
        <rFont val="宋体"/>
        <family val="2"/>
      </rPr>
      <t>CT=GROUP1-GAPDH</t>
    </r>
  </si>
  <si>
    <t>Treatment groups</t>
  </si>
  <si>
    <t>Normal (n=12)</t>
  </si>
  <si>
    <t>Gastritis (n=35)</t>
  </si>
  <si>
    <t>Gastric cancer (n=103)</t>
  </si>
  <si>
    <t>Beads flowcytometry of IL10 analysis in human serum samples</t>
  </si>
  <si>
    <t>Beads flowcytometry of IL10 analysis in mouse serum samples (n=5)</t>
  </si>
  <si>
    <t>Gastritis (n=69)</t>
  </si>
  <si>
    <t>Gastric cancer (n=29)</t>
  </si>
  <si>
    <t>IL10-/-</t>
  </si>
  <si>
    <t>IL10+/+</t>
  </si>
  <si>
    <t>IL10+/-</t>
  </si>
  <si>
    <t xml:space="preserve">Alcohol+HP </t>
  </si>
  <si>
    <t>H. pylori</t>
  </si>
  <si>
    <t>Acetaldehyde (µM)</t>
  </si>
  <si>
    <t>OD450nm</t>
  </si>
  <si>
    <t>CD8 (ng/mL)</t>
  </si>
  <si>
    <r>
      <t>Beads flowcytometry of IL1</t>
    </r>
    <r>
      <rPr>
        <b/>
        <sz val="12"/>
        <color theme="1"/>
        <rFont val="Calibri"/>
        <family val="2"/>
      </rPr>
      <t>β</t>
    </r>
    <r>
      <rPr>
        <b/>
        <sz val="12"/>
        <color theme="1"/>
        <rFont val="Arial"/>
        <family val="2"/>
      </rPr>
      <t xml:space="preserve"> analysis in IL10</t>
    </r>
    <r>
      <rPr>
        <b/>
        <sz val="12"/>
        <color theme="1"/>
        <rFont val="Calibri"/>
        <family val="2"/>
      </rPr>
      <t>+/+</t>
    </r>
    <r>
      <rPr>
        <b/>
        <sz val="12"/>
        <color theme="1"/>
        <rFont val="Arial"/>
        <family val="2"/>
      </rPr>
      <t xml:space="preserve"> mouse serum samples (n=5)</t>
    </r>
  </si>
  <si>
    <r>
      <t>Beads flowcytometry of IL1</t>
    </r>
    <r>
      <rPr>
        <b/>
        <sz val="12"/>
        <color theme="1"/>
        <rFont val="Calibri"/>
        <family val="2"/>
      </rPr>
      <t>β</t>
    </r>
    <r>
      <rPr>
        <b/>
        <sz val="12"/>
        <color theme="1"/>
        <rFont val="Arial"/>
        <family val="2"/>
      </rPr>
      <t xml:space="preserve"> analysis in IL10</t>
    </r>
    <r>
      <rPr>
        <b/>
        <sz val="12"/>
        <color theme="1"/>
        <rFont val="Calibri"/>
        <family val="2"/>
      </rPr>
      <t>+/-</t>
    </r>
    <r>
      <rPr>
        <b/>
        <sz val="12"/>
        <color theme="1"/>
        <rFont val="Arial"/>
        <family val="2"/>
      </rPr>
      <t xml:space="preserve"> mouse serum samples (n=5)</t>
    </r>
  </si>
  <si>
    <r>
      <t>Beads flowcytometry of IL1</t>
    </r>
    <r>
      <rPr>
        <b/>
        <sz val="12"/>
        <color theme="1"/>
        <rFont val="Calibri"/>
        <family val="2"/>
      </rPr>
      <t>β</t>
    </r>
    <r>
      <rPr>
        <b/>
        <sz val="12"/>
        <color theme="1"/>
        <rFont val="Arial"/>
        <family val="2"/>
      </rPr>
      <t xml:space="preserve"> analysis in IL10-</t>
    </r>
    <r>
      <rPr>
        <b/>
        <sz val="12"/>
        <color theme="1"/>
        <rFont val="Calibri"/>
        <family val="2"/>
      </rPr>
      <t>/-</t>
    </r>
    <r>
      <rPr>
        <b/>
        <sz val="12"/>
        <color theme="1"/>
        <rFont val="Arial"/>
        <family val="2"/>
      </rPr>
      <t xml:space="preserve"> mouse serum samples (n=5)</t>
    </r>
  </si>
  <si>
    <t>GAPDH</t>
    <phoneticPr fontId="1" type="noConversion"/>
  </si>
  <si>
    <t>SD</t>
    <phoneticPr fontId="1" type="noConversion"/>
  </si>
  <si>
    <t>HP</t>
    <phoneticPr fontId="1" type="noConversion"/>
  </si>
  <si>
    <t>alcohol+HP</t>
  </si>
  <si>
    <t>qPCR of pgm2 analysis in IL10 KO mouse tissue samples (n=3)</t>
  </si>
  <si>
    <t>WT</t>
  </si>
  <si>
    <t>CD8 cell sorting of Jurkat cells treated with acetaldehyde, HP and IL-10</t>
  </si>
  <si>
    <t>IL10</t>
  </si>
  <si>
    <t>Aacetaldehyde</t>
  </si>
  <si>
    <t>-</t>
  </si>
  <si>
    <t>+</t>
  </si>
  <si>
    <t>IL-10</t>
  </si>
  <si>
    <t>GROUP1</t>
    <phoneticPr fontId="1" type="noConversion"/>
  </si>
  <si>
    <t>GAPDH</t>
    <phoneticPr fontId="1" type="noConversion"/>
  </si>
  <si>
    <t>MEAN</t>
    <phoneticPr fontId="1" type="noConversion"/>
  </si>
  <si>
    <t>SD</t>
    <phoneticPr fontId="1" type="noConversion"/>
  </si>
  <si>
    <t>ΔΔCT</t>
    <phoneticPr fontId="1" type="noConversion"/>
  </si>
  <si>
    <t>2^-ΔΔCT</t>
    <phoneticPr fontId="1" type="noConversion"/>
  </si>
  <si>
    <t>with control 0</t>
  </si>
  <si>
    <t>NKFB</t>
  </si>
  <si>
    <t xml:space="preserve"> CT 1</t>
    <phoneticPr fontId="1" type="noConversion"/>
  </si>
  <si>
    <t>CT 2</t>
    <phoneticPr fontId="1" type="noConversion"/>
  </si>
  <si>
    <t>CT 3</t>
    <phoneticPr fontId="1" type="noConversion"/>
  </si>
  <si>
    <t xml:space="preserve">CT 1 </t>
    <phoneticPr fontId="1" type="noConversion"/>
  </si>
  <si>
    <t>IL10-Sh2 (jurkat)</t>
  </si>
  <si>
    <t>TNF-alpha</t>
  </si>
  <si>
    <t>IL23</t>
  </si>
  <si>
    <t>IL6</t>
  </si>
  <si>
    <t>IL1-beta</t>
  </si>
  <si>
    <t>FOXP3</t>
  </si>
  <si>
    <t>IL1-alpha</t>
  </si>
  <si>
    <t>IL16</t>
  </si>
  <si>
    <t>IL18</t>
  </si>
  <si>
    <t>IFN-gamma</t>
  </si>
  <si>
    <t>TGF-beta</t>
  </si>
  <si>
    <t>IL17A</t>
  </si>
  <si>
    <t>Cytokines profile in IL10 knocdown Jurkat cells</t>
  </si>
  <si>
    <t>IL10+/+ (Mock)</t>
  </si>
  <si>
    <t>IL10-/- (knockdown)</t>
  </si>
  <si>
    <t>IL-1β expression in CD8 cells with different treatments</t>
  </si>
  <si>
    <t>GROUP1</t>
  </si>
  <si>
    <t>GAPDH</t>
  </si>
  <si>
    <t>ΔCT=GROUP1-GAPDH</t>
  </si>
  <si>
    <t>MEAN</t>
  </si>
  <si>
    <t>SD</t>
  </si>
  <si>
    <t>Acetaldehyde</t>
  </si>
  <si>
    <t xml:space="preserve"> CT 1</t>
  </si>
  <si>
    <t>CT 2</t>
  </si>
  <si>
    <t>CT 3</t>
  </si>
  <si>
    <t xml:space="preserve">CT 1 </t>
  </si>
  <si>
    <t>apoptosis of CD8 cells with different treatments</t>
  </si>
  <si>
    <t>total apop + necro</t>
  </si>
  <si>
    <t>late apop/necro</t>
  </si>
  <si>
    <t>early apop</t>
  </si>
  <si>
    <t>total apop + early necro</t>
  </si>
  <si>
    <t xml:space="preserve">anx + PI </t>
  </si>
  <si>
    <t>no label</t>
  </si>
  <si>
    <t>anx only</t>
  </si>
  <si>
    <t>UL</t>
  </si>
  <si>
    <t>UR</t>
  </si>
  <si>
    <t>LL</t>
  </si>
  <si>
    <t>LR</t>
  </si>
  <si>
    <t>early apoptosis</t>
  </si>
  <si>
    <t>incr. over con.</t>
  </si>
  <si>
    <t>UR+LR</t>
  </si>
  <si>
    <t>UL+UR+LR</t>
  </si>
  <si>
    <t>Gene Id</t>
  </si>
  <si>
    <t>Taldo1</t>
  </si>
  <si>
    <t>mdh2</t>
  </si>
  <si>
    <t>ogdh</t>
  </si>
  <si>
    <t>aco2</t>
  </si>
  <si>
    <t>idh3b</t>
  </si>
  <si>
    <t>ugp2</t>
  </si>
  <si>
    <t>pgm2</t>
  </si>
  <si>
    <t>gys1</t>
  </si>
  <si>
    <t>dlat</t>
  </si>
  <si>
    <t>Slc16a10</t>
  </si>
  <si>
    <t>Slc16a5</t>
  </si>
  <si>
    <t>Slc16a7</t>
  </si>
  <si>
    <t>Enox2</t>
  </si>
  <si>
    <t>pfkfb2</t>
  </si>
  <si>
    <t>pfkfb3</t>
  </si>
  <si>
    <t>FABP1</t>
  </si>
  <si>
    <t>Fkbp11</t>
  </si>
  <si>
    <t>mdh1</t>
  </si>
  <si>
    <t>Aco1</t>
  </si>
  <si>
    <t>pklr</t>
  </si>
  <si>
    <t>Expression level</t>
  </si>
  <si>
    <t>Heat map showing differential expression of mitochondrial expression</t>
  </si>
  <si>
    <t xml:space="preserve">Pdk2 </t>
  </si>
  <si>
    <t xml:space="preserve">Vdac2  </t>
  </si>
  <si>
    <t xml:space="preserve">Slc2a4 </t>
  </si>
  <si>
    <t>Slc2a10</t>
  </si>
  <si>
    <t>[colonies/ml plated * DF] / [g of tissue / ml original homogenate]= # colonies/gram tissue=CFU/g tissue</t>
  </si>
  <si>
    <t>[200 col/0.5 ml plated * 10000] / [0.35g of tissue / 1ml orginal volume] = 2.86*10^6 cfu/gram</t>
  </si>
  <si>
    <t>[(colonies/ml plated * DF] * (g of tissue + ml for homogenize]/g of tissue= CFU/g tissue</t>
  </si>
  <si>
    <t>mice 1</t>
  </si>
  <si>
    <t>mice2</t>
  </si>
  <si>
    <t>mice3</t>
  </si>
  <si>
    <t>mice4</t>
  </si>
  <si>
    <t>stomach weight</t>
  </si>
  <si>
    <t>IL+/+</t>
  </si>
  <si>
    <t>Alcohol+H. pylori</t>
  </si>
  <si>
    <t>g of tissue / ml original homogenate</t>
  </si>
  <si>
    <t>colonies/ml plated</t>
  </si>
  <si>
    <t>colonies/ml plated * DF</t>
  </si>
  <si>
    <t>[colonies/ml plated * DF] / [g of tissue / ml original homogenate]</t>
  </si>
  <si>
    <t>NO OF COLONIES</t>
  </si>
  <si>
    <t>Log[colonies/ml plated * DF] / [g of tissue / ml original homogenate]</t>
  </si>
  <si>
    <r>
      <rPr>
        <b/>
        <i/>
        <sz val="11"/>
        <color theme="1"/>
        <rFont val="Arial"/>
        <family val="2"/>
      </rPr>
      <t xml:space="preserve">H. pylori </t>
    </r>
    <r>
      <rPr>
        <b/>
        <sz val="11"/>
        <color theme="1"/>
        <rFont val="Arial"/>
        <family val="2"/>
      </rPr>
      <t>CagA (ng/mL)</t>
    </r>
  </si>
  <si>
    <t>#1</t>
  </si>
  <si>
    <t>#2</t>
  </si>
  <si>
    <t>#3</t>
  </si>
  <si>
    <t>#4</t>
  </si>
  <si>
    <t>#5</t>
  </si>
  <si>
    <t>Alcohol cocnetration g/kg/day</t>
  </si>
  <si>
    <t>Concentration standard</t>
  </si>
  <si>
    <t>IL10++ (Mock)</t>
  </si>
  <si>
    <t>GROUP1</t>
    <phoneticPr fontId="1" type="noConversion"/>
  </si>
  <si>
    <t>GAPDH</t>
    <phoneticPr fontId="1" type="noConversion"/>
  </si>
  <si>
    <t>MEAN</t>
    <phoneticPr fontId="1" type="noConversion"/>
  </si>
  <si>
    <t>SD</t>
    <phoneticPr fontId="1" type="noConversion"/>
  </si>
  <si>
    <t>ΔΔCT</t>
    <phoneticPr fontId="1" type="noConversion"/>
  </si>
  <si>
    <t>2^-ΔΔCT</t>
    <phoneticPr fontId="1" type="noConversion"/>
  </si>
  <si>
    <t>CagA</t>
  </si>
  <si>
    <t xml:space="preserve"> CT 1</t>
    <phoneticPr fontId="1" type="noConversion"/>
  </si>
  <si>
    <t>CT 2</t>
    <phoneticPr fontId="1" type="noConversion"/>
  </si>
  <si>
    <t>CT 3</t>
    <phoneticPr fontId="1" type="noConversion"/>
  </si>
  <si>
    <t xml:space="preserve">CT 1 </t>
    <phoneticPr fontId="1" type="noConversion"/>
  </si>
  <si>
    <t>IL10--</t>
  </si>
  <si>
    <t xml:space="preserve">IL10-- </t>
  </si>
  <si>
    <r>
      <t>IL-1</t>
    </r>
    <r>
      <rPr>
        <b/>
        <sz val="11"/>
        <rFont val="Calibri"/>
        <family val="2"/>
      </rPr>
      <t>β</t>
    </r>
  </si>
  <si>
    <t>Mup10</t>
  </si>
  <si>
    <t>Mup18</t>
  </si>
  <si>
    <t>Pdx1</t>
  </si>
  <si>
    <t>Gast</t>
  </si>
  <si>
    <t>Nkx6-3</t>
  </si>
  <si>
    <t>Mup19</t>
  </si>
  <si>
    <t>Lce3e</t>
  </si>
  <si>
    <t>Lce1d</t>
  </si>
  <si>
    <t>Tgm3</t>
  </si>
  <si>
    <t>Aox4</t>
  </si>
  <si>
    <t>Klk7</t>
  </si>
  <si>
    <t>Cpa4</t>
  </si>
  <si>
    <t>Serpinb3c</t>
  </si>
  <si>
    <t>Hist1h4n</t>
  </si>
  <si>
    <t>Serpina12</t>
  </si>
  <si>
    <t>Lipn</t>
  </si>
  <si>
    <t>Serpinb2</t>
  </si>
  <si>
    <t>Serpinb11</t>
  </si>
  <si>
    <t>Vsig8</t>
  </si>
  <si>
    <t>Abhd12b</t>
  </si>
  <si>
    <t>Lce6a</t>
  </si>
  <si>
    <t>Klk5</t>
  </si>
  <si>
    <t>Lgals7</t>
  </si>
  <si>
    <t>Aadacl3</t>
  </si>
  <si>
    <t>H60c</t>
  </si>
  <si>
    <t>Pla2g4b</t>
  </si>
  <si>
    <t>Klk6</t>
  </si>
  <si>
    <t>Hcar2</t>
  </si>
  <si>
    <t>Gjb4</t>
  </si>
  <si>
    <t>Lce3d</t>
  </si>
  <si>
    <t>Gjb6</t>
  </si>
  <si>
    <t>Vsig10l</t>
  </si>
  <si>
    <t>Ceacam19</t>
  </si>
  <si>
    <t>Gene id</t>
  </si>
  <si>
    <t>IL10++</t>
  </si>
  <si>
    <t>untreated</t>
    <phoneticPr fontId="1" type="noConversion"/>
  </si>
  <si>
    <t>HP</t>
    <phoneticPr fontId="1" type="noConversion"/>
  </si>
  <si>
    <t>alcohol+HP cancer</t>
  </si>
  <si>
    <t>SD</t>
    <phoneticPr fontId="1" type="noConversion"/>
  </si>
  <si>
    <t>ΔΔCT</t>
    <phoneticPr fontId="1" type="noConversion"/>
  </si>
  <si>
    <t>2^-ΔΔCT</t>
    <phoneticPr fontId="1" type="noConversion"/>
  </si>
  <si>
    <t>IL10+-</t>
  </si>
  <si>
    <t>Average</t>
  </si>
  <si>
    <t>IL-1b</t>
  </si>
  <si>
    <t>ACE+HP+IL1beta</t>
  </si>
  <si>
    <t>HP+IL1beta</t>
  </si>
  <si>
    <t>ACE+IL1beta</t>
  </si>
  <si>
    <t>ACE+HP</t>
  </si>
  <si>
    <t>ACE</t>
  </si>
  <si>
    <t>NKX6.3 (Mock)</t>
  </si>
  <si>
    <t>NKX6.3++</t>
  </si>
  <si>
    <t>0 hours</t>
  </si>
  <si>
    <t>6 hours</t>
  </si>
  <si>
    <t>12 hours</t>
  </si>
  <si>
    <t>18 hours</t>
  </si>
  <si>
    <t>24 hours</t>
  </si>
  <si>
    <t>30 hours</t>
  </si>
  <si>
    <t>36 hours</t>
  </si>
  <si>
    <t>42 hours</t>
  </si>
  <si>
    <t>48 hours</t>
  </si>
  <si>
    <t>54 hours</t>
  </si>
  <si>
    <t>60 hours</t>
  </si>
  <si>
    <t>66 hours</t>
  </si>
  <si>
    <t>72 hours</t>
  </si>
  <si>
    <t>78 hours</t>
  </si>
  <si>
    <t>84 hours</t>
  </si>
  <si>
    <t>90 hours</t>
  </si>
  <si>
    <t>96 hours</t>
  </si>
  <si>
    <r>
      <t>IL1</t>
    </r>
    <r>
      <rPr>
        <b/>
        <sz val="11"/>
        <color theme="1"/>
        <rFont val="Calibri"/>
        <family val="2"/>
      </rPr>
      <t>β</t>
    </r>
  </si>
  <si>
    <t>apoptosis of NCIN87 cells infected with NKX6.3 overexpression plasmid</t>
  </si>
  <si>
    <t>Cell Cycle of NCIN87 cells infected with NKX6.3 overexpression plasmid</t>
  </si>
  <si>
    <t>% G1</t>
  </si>
  <si>
    <t>% G2</t>
  </si>
  <si>
    <t xml:space="preserve">% S </t>
  </si>
  <si>
    <t>Total (%)</t>
  </si>
  <si>
    <t>IHC of IL10 analysis in human gastric tissue samples</t>
  </si>
  <si>
    <t>IHC of NKX6.3 analysis in human gastric tissue samples</t>
  </si>
  <si>
    <t>Beads array of IL1β analysis in human gastric patients serum samples</t>
  </si>
  <si>
    <t>Gastritis (n=36)</t>
  </si>
  <si>
    <t>Gastric cancer (n=45)</t>
  </si>
  <si>
    <t>Alcohol Dose</t>
  </si>
  <si>
    <t>Glandular zone</t>
  </si>
  <si>
    <t>Supp fig2B</t>
  </si>
  <si>
    <t>H. pylori (HP)</t>
  </si>
  <si>
    <t>Groups</t>
  </si>
  <si>
    <r>
      <t xml:space="preserve">IHC of </t>
    </r>
    <r>
      <rPr>
        <b/>
        <i/>
        <sz val="12"/>
        <color theme="1"/>
        <rFont val="Arial"/>
        <family val="2"/>
      </rPr>
      <t>H. pylori</t>
    </r>
    <r>
      <rPr>
        <b/>
        <sz val="12"/>
        <color theme="1"/>
        <rFont val="Arial"/>
        <family val="2"/>
      </rPr>
      <t xml:space="preserve"> analysis of mouse gastric tissue samples</t>
    </r>
  </si>
  <si>
    <t>Supp fig2C</t>
  </si>
  <si>
    <t>Supp fig2D</t>
  </si>
  <si>
    <t>IHC of Pepsinogen-II analysis of mouse gastric tissue samples</t>
  </si>
  <si>
    <t>IHC of Pepsinogen-I analysis of mouse gastric tissue samples</t>
  </si>
  <si>
    <t>Supp fig2E</t>
  </si>
  <si>
    <t>Gastrin mRNA</t>
  </si>
  <si>
    <t>mice=1</t>
  </si>
  <si>
    <t>mice=2</t>
  </si>
  <si>
    <t>mice=3</t>
  </si>
  <si>
    <t>mice=4</t>
  </si>
  <si>
    <t>mice=5</t>
  </si>
  <si>
    <t>Supp fig2F</t>
  </si>
  <si>
    <t>HK+ ATPase mRNA</t>
  </si>
  <si>
    <t>Somatostain mRNA</t>
  </si>
  <si>
    <t>Supp fig2G</t>
  </si>
  <si>
    <t>qPCR analysis of Gastrin gene in mouse model</t>
  </si>
  <si>
    <t>qPCR analysis of HK+ ATPase gene in mouse model</t>
  </si>
  <si>
    <t>qPCR analysis of Somatostain gene in mouse model</t>
  </si>
  <si>
    <t>qPCR analysis of TFF1 gene in mouse model</t>
  </si>
  <si>
    <t>Supp fig3A</t>
  </si>
  <si>
    <t>Tff1 mRNA</t>
  </si>
  <si>
    <t>Supp fig3B</t>
  </si>
  <si>
    <t>qPCR analysis of TFF2 gene in mouse model</t>
  </si>
  <si>
    <t>Supp fig3C</t>
  </si>
  <si>
    <t>qPCR analysis of GKN1 gene in mouse model</t>
  </si>
  <si>
    <t>GKN1 mRNA</t>
  </si>
  <si>
    <t>Tff2 mRNA</t>
  </si>
  <si>
    <t>Supp fig3D</t>
  </si>
  <si>
    <t>GKN2 mRNA</t>
  </si>
  <si>
    <t>qPCR analysis of GKN2 gene in mouse model</t>
  </si>
  <si>
    <t>Date</t>
    <phoneticPr fontId="1" type="noConversion"/>
  </si>
  <si>
    <t>17.7.2016</t>
    <phoneticPr fontId="1" type="noConversion"/>
  </si>
  <si>
    <t>20.7.2016</t>
    <phoneticPr fontId="1" type="noConversion"/>
  </si>
  <si>
    <t>23.7.2016</t>
    <phoneticPr fontId="1" type="noConversion"/>
  </si>
  <si>
    <t>26.7.2016</t>
    <phoneticPr fontId="1" type="noConversion"/>
  </si>
  <si>
    <t>29.7.2016</t>
    <phoneticPr fontId="1" type="noConversion"/>
  </si>
  <si>
    <t>mice 1</t>
    <phoneticPr fontId="1" type="noConversion"/>
  </si>
  <si>
    <t>AVERAGE</t>
  </si>
  <si>
    <t>STDEV</t>
  </si>
  <si>
    <t>Alcohol cancer</t>
    <phoneticPr fontId="1" type="noConversion"/>
  </si>
  <si>
    <t>Date</t>
    <phoneticPr fontId="1" type="noConversion"/>
  </si>
  <si>
    <t>1.8.2016</t>
    <phoneticPr fontId="1" type="noConversion"/>
  </si>
  <si>
    <t>4.8.2016</t>
    <phoneticPr fontId="1" type="noConversion"/>
  </si>
  <si>
    <t>7.8.2016</t>
    <phoneticPr fontId="1" type="noConversion"/>
  </si>
  <si>
    <t>10.8.2016</t>
    <phoneticPr fontId="1" type="noConversion"/>
  </si>
  <si>
    <t>13.8.2016</t>
    <phoneticPr fontId="1" type="noConversion"/>
  </si>
  <si>
    <t>16.8.2016</t>
    <phoneticPr fontId="1" type="noConversion"/>
  </si>
  <si>
    <t>19.8.2016</t>
    <phoneticPr fontId="1" type="noConversion"/>
  </si>
  <si>
    <t>22.8.2016</t>
    <phoneticPr fontId="1" type="noConversion"/>
  </si>
  <si>
    <t>25.8.2016</t>
    <phoneticPr fontId="1" type="noConversion"/>
  </si>
  <si>
    <t>28.8.2016</t>
    <phoneticPr fontId="1" type="noConversion"/>
  </si>
  <si>
    <t>31.8.2016</t>
    <phoneticPr fontId="1" type="noConversion"/>
  </si>
  <si>
    <t>3.9.2016</t>
    <phoneticPr fontId="1" type="noConversion"/>
  </si>
  <si>
    <t>BODY WEIGHT (g)</t>
  </si>
  <si>
    <t>mice 2</t>
  </si>
  <si>
    <t>mice 3</t>
  </si>
  <si>
    <t>mice 4</t>
  </si>
  <si>
    <t>mice 5</t>
  </si>
  <si>
    <t>M0 mice 1</t>
  </si>
  <si>
    <t>M1 mice 1</t>
  </si>
  <si>
    <t>M2  mice 1</t>
  </si>
  <si>
    <t>Supp Fig5F</t>
  </si>
  <si>
    <t>IHC of CK-18 analysis of mouse gastric tissue samples</t>
  </si>
  <si>
    <t>MO</t>
  </si>
  <si>
    <t>M1</t>
  </si>
  <si>
    <t>M2</t>
  </si>
  <si>
    <t>IHC of Vimentin analysis of mouse gastric tissue samples</t>
  </si>
  <si>
    <t>IHC of SMA-α analysis of mouse gastric tissue samples</t>
  </si>
  <si>
    <t>DATE</t>
    <phoneticPr fontId="1" type="noConversion"/>
  </si>
  <si>
    <t>14.7.2016</t>
    <phoneticPr fontId="3" type="noConversion"/>
  </si>
  <si>
    <t>17.7.2016</t>
    <phoneticPr fontId="3" type="noConversion"/>
  </si>
  <si>
    <t>20.7.2016</t>
    <phoneticPr fontId="3" type="noConversion"/>
  </si>
  <si>
    <t>23.7.2016</t>
    <phoneticPr fontId="3" type="noConversion"/>
  </si>
  <si>
    <t>26.7.2016</t>
    <phoneticPr fontId="3" type="noConversion"/>
  </si>
  <si>
    <t>29.7.2016</t>
    <phoneticPr fontId="3" type="noConversion"/>
  </si>
  <si>
    <t>mice</t>
    <phoneticPr fontId="1" type="noConversion"/>
  </si>
  <si>
    <t>B</t>
    <phoneticPr fontId="1" type="noConversion"/>
  </si>
  <si>
    <t>VOLUME=L*B*B/2</t>
    <phoneticPr fontId="1" type="noConversion"/>
  </si>
  <si>
    <t>P0</t>
    <phoneticPr fontId="1" type="noConversion"/>
  </si>
  <si>
    <t>average</t>
    <phoneticPr fontId="1" type="noConversion"/>
  </si>
  <si>
    <t>SD</t>
    <phoneticPr fontId="1" type="noConversion"/>
  </si>
  <si>
    <t>1.8.2016</t>
    <phoneticPr fontId="3" type="noConversion"/>
  </si>
  <si>
    <t>4.8.2016</t>
    <phoneticPr fontId="3" type="noConversion"/>
  </si>
  <si>
    <t>7.8.2016</t>
    <phoneticPr fontId="3" type="noConversion"/>
  </si>
  <si>
    <t>10.8.2016</t>
    <phoneticPr fontId="3" type="noConversion"/>
  </si>
  <si>
    <t>13.8.2016</t>
    <phoneticPr fontId="3" type="noConversion"/>
  </si>
  <si>
    <t>16.8.2016</t>
    <phoneticPr fontId="3" type="noConversion"/>
  </si>
  <si>
    <t>P1</t>
    <phoneticPr fontId="1" type="noConversion"/>
  </si>
  <si>
    <t>Sd</t>
    <phoneticPr fontId="1" type="noConversion"/>
  </si>
  <si>
    <t>19.8.2016</t>
    <phoneticPr fontId="3" type="noConversion"/>
  </si>
  <si>
    <t>22.8.2016</t>
    <phoneticPr fontId="3" type="noConversion"/>
  </si>
  <si>
    <t>25.8.2016</t>
    <phoneticPr fontId="3" type="noConversion"/>
  </si>
  <si>
    <t>28.8.2016</t>
    <phoneticPr fontId="3" type="noConversion"/>
  </si>
  <si>
    <t>31.8.2016</t>
    <phoneticPr fontId="3" type="noConversion"/>
  </si>
  <si>
    <t>3.9.2016</t>
    <phoneticPr fontId="3" type="noConversion"/>
  </si>
  <si>
    <t>P2</t>
    <phoneticPr fontId="1" type="noConversion"/>
  </si>
  <si>
    <t>Supp Fig5C</t>
  </si>
  <si>
    <t>11.7.2016</t>
    <phoneticPr fontId="1" type="noConversion"/>
  </si>
  <si>
    <t>14.7.2016</t>
    <phoneticPr fontId="1" type="noConversion"/>
  </si>
  <si>
    <t>Supp Fig5B</t>
  </si>
  <si>
    <t>M0</t>
  </si>
  <si>
    <t>Mice 3</t>
  </si>
  <si>
    <t>Mice 2</t>
  </si>
  <si>
    <t>Mice 1</t>
  </si>
  <si>
    <t>Mice 4</t>
  </si>
  <si>
    <t>Mice 5</t>
  </si>
  <si>
    <t>Mice body weight</t>
  </si>
  <si>
    <t>Supp Fig6B, C</t>
  </si>
  <si>
    <t>IHC of MPO analysis of mouse gastric tissue samples</t>
  </si>
  <si>
    <t>IHC of F4/80 analysis of mouse gastric tissue samples</t>
  </si>
  <si>
    <t>,</t>
  </si>
  <si>
    <t>Beads array analysis of cytokine in mouse serum samples</t>
  </si>
  <si>
    <t>mice#1</t>
  </si>
  <si>
    <t>mice#2</t>
  </si>
  <si>
    <t>mice#3</t>
  </si>
  <si>
    <t>mice#4</t>
  </si>
  <si>
    <t>mice#5</t>
  </si>
  <si>
    <t>IL-23</t>
  </si>
  <si>
    <t>MCP-1</t>
  </si>
  <si>
    <t>IL22p70</t>
  </si>
  <si>
    <t>IL-6</t>
  </si>
  <si>
    <t>IL-27</t>
  </si>
  <si>
    <t>IL-17A</t>
  </si>
  <si>
    <t>GM-CSF</t>
  </si>
  <si>
    <r>
      <t>IL1</t>
    </r>
    <r>
      <rPr>
        <b/>
        <sz val="11"/>
        <color theme="1"/>
        <rFont val="Calibri"/>
        <family val="2"/>
      </rPr>
      <t>α</t>
    </r>
  </si>
  <si>
    <r>
      <t>IFN</t>
    </r>
    <r>
      <rPr>
        <b/>
        <sz val="11"/>
        <color theme="1"/>
        <rFont val="Calibri"/>
        <family val="2"/>
      </rPr>
      <t>γ</t>
    </r>
  </si>
  <si>
    <r>
      <t>TNF</t>
    </r>
    <r>
      <rPr>
        <b/>
        <sz val="11"/>
        <color theme="1"/>
        <rFont val="Calibri"/>
        <family val="2"/>
      </rPr>
      <t>α</t>
    </r>
  </si>
  <si>
    <r>
      <t>IL-1</t>
    </r>
    <r>
      <rPr>
        <b/>
        <sz val="11"/>
        <color theme="1"/>
        <rFont val="Calibri"/>
        <family val="2"/>
      </rPr>
      <t>β</t>
    </r>
  </si>
  <si>
    <r>
      <t>IFN-</t>
    </r>
    <r>
      <rPr>
        <b/>
        <sz val="11"/>
        <color theme="1"/>
        <rFont val="Calibri"/>
        <family val="2"/>
      </rPr>
      <t>β</t>
    </r>
  </si>
  <si>
    <t>Supp Fig7A</t>
  </si>
  <si>
    <t>Supp Fig7B</t>
  </si>
  <si>
    <t>Supp Fig7C</t>
  </si>
  <si>
    <t>Supp Fig7D</t>
  </si>
  <si>
    <t>Supp Fig7E</t>
  </si>
  <si>
    <t>Supp Fig7F</t>
  </si>
  <si>
    <t>Supp Fig7G</t>
  </si>
  <si>
    <t>Supp Fig7H</t>
  </si>
  <si>
    <t>Supp Fig7I</t>
  </si>
  <si>
    <t>Supp Fig7J</t>
  </si>
  <si>
    <t>Supp Fig7K</t>
  </si>
  <si>
    <t>Supp Fig7L</t>
  </si>
  <si>
    <t>CD4</t>
  </si>
  <si>
    <t>CD49B</t>
  </si>
  <si>
    <t>Immune cell sorting by FACS from mice</t>
  </si>
  <si>
    <t>CD11b</t>
  </si>
  <si>
    <t>CD8</t>
  </si>
  <si>
    <t>CD19</t>
  </si>
  <si>
    <t>avg</t>
  </si>
  <si>
    <t>Nitrite</t>
  </si>
  <si>
    <t>od-y-intercept</t>
  </si>
  <si>
    <t>for nitrate+nitrite</t>
  </si>
  <si>
    <t>od-y-intercept/slope</t>
  </si>
  <si>
    <t>200/100</t>
  </si>
  <si>
    <t>(od-y-intercept/slope)(200/100)</t>
  </si>
  <si>
    <t>od-y-intercept/slope(200/100)*10</t>
  </si>
  <si>
    <t>Supplementary fig 9A</t>
  </si>
  <si>
    <t>Repeat</t>
  </si>
  <si>
    <t>Ist time</t>
  </si>
  <si>
    <t>Level of nitrite in IL10+/+ mice</t>
  </si>
  <si>
    <t>OD</t>
  </si>
  <si>
    <t>GLUT13</t>
  </si>
  <si>
    <t>GLUT9</t>
  </si>
  <si>
    <t>GLUT4</t>
  </si>
  <si>
    <t>GLUT12</t>
  </si>
  <si>
    <t>GLUT3</t>
  </si>
  <si>
    <t>GLUT8</t>
  </si>
  <si>
    <t>GLUT5</t>
  </si>
  <si>
    <t>GLUT10</t>
  </si>
  <si>
    <t>GLUT7</t>
  </si>
  <si>
    <t>GLUT2</t>
  </si>
  <si>
    <t>GLUT6</t>
  </si>
  <si>
    <t>GLUT1</t>
  </si>
  <si>
    <t>Expression level of Glut gene by mRA sequencing</t>
  </si>
  <si>
    <t>MEAN</t>
    <phoneticPr fontId="1" type="noConversion"/>
  </si>
  <si>
    <t>wt</t>
  </si>
  <si>
    <t>il10--</t>
  </si>
  <si>
    <t>il10++</t>
  </si>
  <si>
    <t>Supp Fig 10D, E</t>
  </si>
  <si>
    <t>Supplementary Fig11 A</t>
  </si>
  <si>
    <t>LDH1</t>
  </si>
  <si>
    <t>MEAN</t>
    <phoneticPr fontId="1" type="noConversion"/>
  </si>
  <si>
    <t>ΔΔCT</t>
    <phoneticPr fontId="1" type="noConversion"/>
  </si>
  <si>
    <t>Supplementary Fig11 B</t>
  </si>
  <si>
    <r>
      <t xml:space="preserve">qPCR analysis of LDH2 in CD8 cells treated with acetaldehyde, </t>
    </r>
    <r>
      <rPr>
        <b/>
        <i/>
        <sz val="11"/>
        <color theme="1"/>
        <rFont val="Calibri"/>
        <family val="2"/>
        <scheme val="minor"/>
      </rPr>
      <t>H. pylori</t>
    </r>
    <r>
      <rPr>
        <b/>
        <sz val="11"/>
        <color theme="1"/>
        <rFont val="Calibri"/>
        <family val="2"/>
        <scheme val="minor"/>
      </rPr>
      <t xml:space="preserve"> and IL10</t>
    </r>
  </si>
  <si>
    <r>
      <t xml:space="preserve">qPCR analysis of LDH1 in CD8 cells treated with acetaldehyde, </t>
    </r>
    <r>
      <rPr>
        <b/>
        <i/>
        <sz val="11"/>
        <color theme="1"/>
        <rFont val="Calibri"/>
        <family val="2"/>
        <scheme val="minor"/>
      </rPr>
      <t>H. pylori</t>
    </r>
    <r>
      <rPr>
        <b/>
        <sz val="11"/>
        <color theme="1"/>
        <rFont val="Calibri"/>
        <family val="2"/>
        <scheme val="minor"/>
      </rPr>
      <t xml:space="preserve"> and IL10</t>
    </r>
  </si>
  <si>
    <t>LDH2</t>
  </si>
  <si>
    <t>Supp Fig12</t>
  </si>
  <si>
    <t xml:space="preserve">Mitotracker arbitary fluorescence </t>
  </si>
  <si>
    <t>Supp Fig13</t>
  </si>
  <si>
    <t>Mitochondrial ROS</t>
  </si>
  <si>
    <t>ROS (DCFDA)</t>
  </si>
  <si>
    <t>MEAN</t>
    <phoneticPr fontId="1" type="noConversion"/>
  </si>
  <si>
    <t>IL10-Sh2 (RAW)</t>
  </si>
  <si>
    <t>Supp Fig 15</t>
  </si>
  <si>
    <t>Cytokine profiles in IL10 knockdown RAW264.7 cells</t>
  </si>
  <si>
    <t>Supp Fig16</t>
  </si>
  <si>
    <t>urease (mmol/L)=sample OD-ControlOD/standard OD- control OD</t>
  </si>
  <si>
    <t>control OD=0.017</t>
  </si>
  <si>
    <t>Standard OD=0.316</t>
  </si>
  <si>
    <t>standard OD- control OD = 0.299</t>
  </si>
  <si>
    <t>mie 1</t>
  </si>
  <si>
    <t>mean</t>
  </si>
  <si>
    <t>sample OD-ControlOD</t>
  </si>
  <si>
    <t>GROUP1</t>
    <phoneticPr fontId="1" type="noConversion"/>
  </si>
  <si>
    <t>GAPDH</t>
    <phoneticPr fontId="1" type="noConversion"/>
  </si>
  <si>
    <t>MEAN</t>
    <phoneticPr fontId="1" type="noConversion"/>
  </si>
  <si>
    <t>SD</t>
    <phoneticPr fontId="1" type="noConversion"/>
  </si>
  <si>
    <t>ΔΔCT</t>
    <phoneticPr fontId="1" type="noConversion"/>
  </si>
  <si>
    <t>2^-ΔΔCT</t>
    <phoneticPr fontId="1" type="noConversion"/>
  </si>
  <si>
    <t xml:space="preserve"> CT 1</t>
    <phoneticPr fontId="1" type="noConversion"/>
  </si>
  <si>
    <t>CT 2</t>
    <phoneticPr fontId="1" type="noConversion"/>
  </si>
  <si>
    <t>CT 3</t>
    <phoneticPr fontId="1" type="noConversion"/>
  </si>
  <si>
    <t xml:space="preserve">CT 1 </t>
    <phoneticPr fontId="1" type="noConversion"/>
  </si>
  <si>
    <t>untreated</t>
    <phoneticPr fontId="1" type="noConversion"/>
  </si>
  <si>
    <t>HP</t>
    <phoneticPr fontId="1" type="noConversion"/>
  </si>
  <si>
    <t>Stress</t>
    <phoneticPr fontId="1" type="noConversion"/>
  </si>
  <si>
    <t>stress+HP cancer</t>
    <phoneticPr fontId="1" type="noConversion"/>
  </si>
  <si>
    <t>Supp Fig17A</t>
  </si>
  <si>
    <t>untreated</t>
    <phoneticPr fontId="1" type="noConversion"/>
  </si>
  <si>
    <t>HP</t>
    <phoneticPr fontId="1" type="noConversion"/>
  </si>
  <si>
    <t>Stress</t>
    <phoneticPr fontId="1" type="noConversion"/>
  </si>
  <si>
    <t>stress+HP cancer</t>
    <phoneticPr fontId="1" type="noConversion"/>
  </si>
  <si>
    <t>Supp Fig17B</t>
  </si>
  <si>
    <t>Mup19 gene</t>
  </si>
  <si>
    <t>Mup10 gene</t>
  </si>
  <si>
    <t>Mup18 gene</t>
  </si>
  <si>
    <t>PDX1 gene</t>
  </si>
  <si>
    <t>Supp Fig17E</t>
  </si>
  <si>
    <t>Supp Fig17D</t>
  </si>
  <si>
    <t>Supp Fig17C</t>
  </si>
  <si>
    <t>miec#2</t>
  </si>
  <si>
    <t>Lce3e gene</t>
  </si>
  <si>
    <t>LPO</t>
  </si>
  <si>
    <t>Plate 1: Plate 1 - Wavelength: 370 nm</t>
    <phoneticPr fontId="2" type="noConversion"/>
  </si>
  <si>
    <t>Normal</t>
  </si>
  <si>
    <t>Carbonyl</t>
  </si>
  <si>
    <t>Plate 1: Plate 1 - Wavelength: 586 nm</t>
    <phoneticPr fontId="2" type="noConversion"/>
  </si>
  <si>
    <t>Catalase</t>
  </si>
  <si>
    <t>Supp Fig5D</t>
  </si>
  <si>
    <t>MPO</t>
  </si>
  <si>
    <t>MDA</t>
  </si>
  <si>
    <t>Plate 1: Plate 1 - Wavelength: 460 nm</t>
  </si>
  <si>
    <t>Plate 1: Plate 1 - Wavelength: 532 nm</t>
  </si>
  <si>
    <t>Plate 1: Plate 1 - Wavelength: 405 nm</t>
  </si>
  <si>
    <t>Blank</t>
  </si>
  <si>
    <t>Standard</t>
  </si>
  <si>
    <t>OD  (586nm)</t>
  </si>
  <si>
    <t>Measured OD-blank OD</t>
  </si>
  <si>
    <t>Standard OD-blank OD</t>
  </si>
  <si>
    <t>Measured OD-blank OD/Standard OD-blank OD</t>
  </si>
  <si>
    <t>Measured OD-blank OD/Standard OD-blank OD * Standard sample concentration (10µmol/L)</t>
  </si>
  <si>
    <t>Control</t>
  </si>
  <si>
    <t>Samples</t>
  </si>
  <si>
    <t>Machine diameter (cm)</t>
  </si>
  <si>
    <t>detected OD-control OD</t>
  </si>
  <si>
    <t>protein con of sample (mgprot/L</t>
  </si>
  <si>
    <t>22*machine diameter (cm)*protein con of sample (mg/prot)*1000</t>
  </si>
  <si>
    <t>detected OD-control OD/22*machine diameter (cm)*protein con of sample</t>
  </si>
  <si>
    <t>(detected OD-control OD/22*machine diameter (cm)*protein con of sample)*125x10^5</t>
  </si>
  <si>
    <t>Cotrol</t>
  </si>
  <si>
    <t>Cotrol OD- detected OD</t>
  </si>
  <si>
    <t>271*(1/60*vol of sample)*dilution factor</t>
  </si>
  <si>
    <t>sample volume</t>
  </si>
  <si>
    <t>Dilution factor</t>
  </si>
  <si>
    <t>observed OD-Control OD</t>
  </si>
  <si>
    <t>observed OD-Control OD/11.3*45*Sample Vol</t>
  </si>
  <si>
    <t>Standard OD</t>
  </si>
  <si>
    <t>MDA()= (observed OD-Control OD/standard Od-Blank OD)*Standard sample conc*dilution factor</t>
  </si>
  <si>
    <t>Standard sample conc</t>
  </si>
  <si>
    <t>standard Od-Blank OD</t>
  </si>
  <si>
    <t>observed OD-Control OD/standard Od-Blank OD</t>
  </si>
  <si>
    <t>MDA(nmol/mgprot)= (observed OD-Control OD/standard Od-Blank OD)*Standard sample conc*dilution factor</t>
  </si>
  <si>
    <r>
      <t>LPO (</t>
    </r>
    <r>
      <rPr>
        <b/>
        <sz val="11"/>
        <color theme="1"/>
        <rFont val="Calibri"/>
        <family val="2"/>
      </rPr>
      <t>µ</t>
    </r>
    <r>
      <rPr>
        <b/>
        <sz val="11"/>
        <color theme="1"/>
        <rFont val="Calibri"/>
        <family val="2"/>
        <scheme val="minor"/>
      </rPr>
      <t>mol/L)=Measured OD-blank OD/Standard OD-blank OD * Standard sample concentration (10</t>
    </r>
    <r>
      <rPr>
        <b/>
        <sz val="11"/>
        <color theme="1"/>
        <rFont val="Calibri"/>
        <family val="2"/>
      </rPr>
      <t>µ</t>
    </r>
    <r>
      <rPr>
        <b/>
        <sz val="11"/>
        <color theme="1"/>
        <rFont val="Calibri"/>
        <family val="2"/>
        <scheme val="minor"/>
      </rPr>
      <t>mol/L)</t>
    </r>
  </si>
  <si>
    <t>Carbonyl (nmol/mgprot)= (detected OD-control OD/22*machine diameter (cm)*protein con of sample)*125x10^5</t>
  </si>
  <si>
    <t>Catalase (U/ml) = (Cotrol OD- detected OD)*271*(1/60*vol of sample)*dilution factor)</t>
  </si>
  <si>
    <t>#Events</t>
  </si>
  <si>
    <t>% Parent</t>
  </si>
  <si>
    <t>%Total</t>
  </si>
  <si>
    <t>Population</t>
  </si>
  <si>
    <t>All Events</t>
  </si>
  <si>
    <t>P1</t>
  </si>
  <si>
    <t>Live cells</t>
  </si>
  <si>
    <t>CD19+ cells</t>
  </si>
  <si>
    <t>CD8+ cells</t>
  </si>
  <si>
    <t>1st sample</t>
  </si>
  <si>
    <t>###</t>
  </si>
  <si>
    <t>2nd sample</t>
  </si>
  <si>
    <t>3rd sample</t>
  </si>
  <si>
    <t>3rd Sample</t>
  </si>
  <si>
    <t>CD11c</t>
  </si>
  <si>
    <t>18,34</t>
  </si>
  <si>
    <t>11.3*0.2</t>
  </si>
  <si>
    <t>MPO (U/L) =observed OD-Control OD/11.3*sample volume</t>
  </si>
  <si>
    <t>mice#6</t>
  </si>
  <si>
    <t>mice#7</t>
  </si>
  <si>
    <t>mice#8</t>
  </si>
  <si>
    <t>mice#9</t>
  </si>
  <si>
    <t>mice#10</t>
  </si>
  <si>
    <t>Anti-OXPHO</t>
  </si>
  <si>
    <t>Anti-GAPDH</t>
  </si>
  <si>
    <t>Anti-pgm2</t>
  </si>
  <si>
    <t>Anti-PKM2</t>
  </si>
  <si>
    <t>Anti-NKX6.3</t>
  </si>
  <si>
    <t>Anti-apoptosis cocktail (caspase, cleaved PARP, muscle actin)</t>
  </si>
  <si>
    <t>Patient #1</t>
  </si>
  <si>
    <t>Patient #2</t>
  </si>
  <si>
    <t>Patients#3</t>
  </si>
  <si>
    <t>Patient#4</t>
  </si>
  <si>
    <t>Patient#5</t>
  </si>
  <si>
    <t>Patient#6</t>
  </si>
  <si>
    <t>Patient#7</t>
  </si>
  <si>
    <t>Patinet#8</t>
  </si>
  <si>
    <t>Patinet#9</t>
  </si>
  <si>
    <t>Patinet#10</t>
  </si>
  <si>
    <t>Key:</t>
  </si>
  <si>
    <t>water (ml) containing alcohol consumed/days</t>
  </si>
  <si>
    <t>alcohol+HP (gastritis)</t>
  </si>
  <si>
    <t>alcohol+HP tumorigeneisis</t>
  </si>
  <si>
    <t>H.pylori</t>
  </si>
  <si>
    <t>ADH determinatino in mouse samples</t>
  </si>
  <si>
    <t>Supplementary Fig 1A,B,C,D</t>
  </si>
  <si>
    <t>Supplementary Fig 2A,B,C,D</t>
  </si>
  <si>
    <t>Supp Fig3C</t>
  </si>
  <si>
    <t>Supp Fig4A</t>
  </si>
  <si>
    <t>Supp Fig4B</t>
  </si>
  <si>
    <t>Supp Fig4C</t>
  </si>
  <si>
    <t>Supp Fig4D</t>
  </si>
  <si>
    <t>Supp Fig4E</t>
  </si>
  <si>
    <t>Supp Fig7A-L</t>
  </si>
  <si>
    <t>Supp Fig8A-F</t>
  </si>
  <si>
    <t>Supplementary fig 9B</t>
  </si>
  <si>
    <t>Supplementary fig 9C</t>
  </si>
  <si>
    <t>Supplementary fig 9D</t>
  </si>
  <si>
    <t>Supp Fig10A,B,C</t>
  </si>
  <si>
    <t>Supp Fig14</t>
  </si>
  <si>
    <t>Fig1c</t>
  </si>
  <si>
    <t>fig2a</t>
  </si>
  <si>
    <t>Fig2b</t>
  </si>
  <si>
    <t>fig2d</t>
  </si>
  <si>
    <t>Fig2e</t>
  </si>
  <si>
    <t>Fig2g</t>
  </si>
  <si>
    <t>Fig2h</t>
  </si>
  <si>
    <t>fig3b</t>
  </si>
  <si>
    <t>Fig3d</t>
  </si>
  <si>
    <t>Fig3e</t>
  </si>
  <si>
    <t>Fig3f</t>
  </si>
  <si>
    <t>Fig4b</t>
  </si>
  <si>
    <t>Fig4c,d,e</t>
  </si>
  <si>
    <t>Fig4f,g,h</t>
  </si>
  <si>
    <t>Fig4,j,k</t>
  </si>
  <si>
    <t>Fig5A</t>
  </si>
  <si>
    <t>Fig5B,C,D</t>
  </si>
  <si>
    <t>Fig5E</t>
  </si>
  <si>
    <t>Fig5F</t>
  </si>
  <si>
    <t>Fig5G</t>
  </si>
  <si>
    <t>Fig5h</t>
  </si>
  <si>
    <t>Fig5i</t>
  </si>
  <si>
    <t>Fig6a,a,b,c</t>
  </si>
  <si>
    <t>Fig6d,e,f</t>
  </si>
  <si>
    <t>Fig6g</t>
  </si>
  <si>
    <t>Fig6h</t>
  </si>
  <si>
    <t>Fig6i</t>
  </si>
  <si>
    <t>Fig6j, k</t>
  </si>
  <si>
    <t>Fig7a</t>
  </si>
  <si>
    <t>Fig7b,c,d</t>
  </si>
  <si>
    <t>Fig7e</t>
  </si>
  <si>
    <t>Fig7f</t>
  </si>
  <si>
    <t>Fig7g</t>
  </si>
  <si>
    <t>Fig7h</t>
  </si>
  <si>
    <t>Fig7i,j</t>
  </si>
  <si>
    <t>Rpl32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</si>
</sst>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000"/>
    <numFmt numFmtId="165" formatCode="0.00000_ "/>
    <numFmt numFmtId="166" formatCode="0.0000_ "/>
    <numFmt numFmtId="167" formatCode="0.0"/>
    <numFmt numFmtId="168" formatCode="0.0000_);[Red]\(0.0000\)"/>
  </numFmts>
  <fonts count="4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3"/>
      <charset val="134"/>
      <scheme val="minor"/>
    </font>
    <font>
      <sz val="11"/>
      <color theme="1"/>
      <name val="Calibri"/>
      <family val="3"/>
      <charset val="134"/>
      <scheme val="minor"/>
    </font>
    <font>
      <sz val="11"/>
      <color rgb="FFFF0000"/>
      <name val="Calibri"/>
      <family val="3"/>
      <charset val="134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3"/>
      <charset val="134"/>
      <scheme val="minor"/>
    </font>
    <font>
      <b/>
      <sz val="10"/>
      <name val="Arial"/>
      <family val="2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8"/>
      <color theme="1"/>
      <name val="Calibri"/>
      <family val="2"/>
    </font>
    <font>
      <sz val="7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1"/>
      <color theme="1"/>
      <name val="宋体"/>
      <family val="2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FF0000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name val="Calibri"/>
      <family val="2"/>
      <scheme val="minor"/>
    </font>
    <font>
      <sz val="10"/>
      <color theme="1"/>
      <name val="Arial"/>
      <family val="2"/>
    </font>
    <font>
      <b/>
      <sz val="10"/>
      <color indexed="10"/>
      <name val="Arial"/>
      <family val="2"/>
    </font>
    <font>
      <b/>
      <i/>
      <sz val="11"/>
      <color theme="1"/>
      <name val="Arial"/>
      <family val="2"/>
    </font>
    <font>
      <b/>
      <sz val="11"/>
      <name val="Calibri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b/>
      <sz val="11"/>
      <color theme="1"/>
      <name val="Calibri"/>
      <family val="2"/>
    </font>
    <font>
      <i/>
      <sz val="10"/>
      <name val="Arial"/>
      <family val="2"/>
    </font>
    <font>
      <sz val="8"/>
      <name val="Arial"/>
      <family val="2"/>
    </font>
    <font>
      <b/>
      <i/>
      <sz val="12"/>
      <color theme="1"/>
      <name val="Arial"/>
      <family val="2"/>
    </font>
    <font>
      <b/>
      <sz val="14"/>
      <color theme="1"/>
      <name val="Calibri"/>
      <family val="3"/>
      <charset val="129"/>
      <scheme val="minor"/>
    </font>
    <font>
      <b/>
      <sz val="8"/>
      <name val="Arial"/>
      <family val="2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84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6" fillId="0" borderId="0" xfId="0" applyFont="1"/>
    <xf numFmtId="0" fontId="0" fillId="0" borderId="0" xfId="0" applyFill="1"/>
    <xf numFmtId="0" fontId="0" fillId="6" borderId="0" xfId="0" applyFill="1"/>
    <xf numFmtId="0" fontId="7" fillId="0" borderId="0" xfId="0" applyFont="1"/>
    <xf numFmtId="164" fontId="0" fillId="0" borderId="0" xfId="0" applyNumberFormat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165" fontId="0" fillId="0" borderId="0" xfId="0" applyNumberFormat="1"/>
    <xf numFmtId="165" fontId="6" fillId="0" borderId="0" xfId="0" applyNumberFormat="1" applyFont="1"/>
    <xf numFmtId="0" fontId="0" fillId="0" borderId="0" xfId="0" applyNumberFormat="1"/>
    <xf numFmtId="0" fontId="1" fillId="0" borderId="0" xfId="0" applyFont="1" applyFill="1"/>
    <xf numFmtId="0" fontId="6" fillId="0" borderId="0" xfId="0" applyFont="1" applyFill="1"/>
    <xf numFmtId="165" fontId="0" fillId="0" borderId="0" xfId="0" applyNumberFormat="1" applyFill="1"/>
    <xf numFmtId="165" fontId="6" fillId="0" borderId="0" xfId="0" applyNumberFormat="1" applyFont="1" applyFill="1"/>
    <xf numFmtId="0" fontId="0" fillId="0" borderId="0" xfId="0" applyNumberFormat="1" applyFill="1"/>
    <xf numFmtId="0" fontId="0" fillId="0" borderId="0" xfId="0" applyFill="1" applyAlignment="1">
      <alignment horizontal="center"/>
    </xf>
    <xf numFmtId="0" fontId="8" fillId="0" borderId="0" xfId="0" applyFont="1"/>
    <xf numFmtId="0" fontId="9" fillId="0" borderId="1" xfId="0" applyFont="1" applyBorder="1" applyAlignment="1">
      <alignment horizontal="left" vertical="top" wrapText="1" readingOrder="1"/>
    </xf>
    <xf numFmtId="0" fontId="9" fillId="0" borderId="2" xfId="0" applyFont="1" applyBorder="1" applyAlignment="1">
      <alignment horizontal="left" vertical="top" wrapText="1" readingOrder="1"/>
    </xf>
    <xf numFmtId="0" fontId="10" fillId="0" borderId="2" xfId="0" applyFont="1" applyBorder="1" applyAlignment="1">
      <alignment horizontal="left" vertical="top" wrapText="1" readingOrder="1"/>
    </xf>
    <xf numFmtId="0" fontId="10" fillId="0" borderId="0" xfId="0" applyFont="1" applyBorder="1" applyAlignment="1">
      <alignment horizontal="left" vertical="top" wrapText="1" readingOrder="1"/>
    </xf>
    <xf numFmtId="0" fontId="8" fillId="6" borderId="0" xfId="0" applyFont="1" applyFill="1"/>
    <xf numFmtId="164" fontId="7" fillId="0" borderId="0" xfId="0" applyNumberFormat="1" applyFont="1"/>
    <xf numFmtId="164" fontId="0" fillId="0" borderId="0" xfId="0" applyNumberFormat="1" applyFont="1"/>
    <xf numFmtId="0" fontId="0" fillId="0" borderId="0" xfId="0" applyFont="1"/>
    <xf numFmtId="166" fontId="0" fillId="0" borderId="0" xfId="0" applyNumberFormat="1"/>
    <xf numFmtId="0" fontId="12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" fillId="0" borderId="0" xfId="0" applyFont="1" applyAlignment="1">
      <alignment horizontal="center"/>
    </xf>
    <xf numFmtId="0" fontId="17" fillId="0" borderId="0" xfId="0" applyFont="1"/>
    <xf numFmtId="0" fontId="14" fillId="0" borderId="0" xfId="0" applyFont="1" applyAlignment="1">
      <alignment horizontal="left"/>
    </xf>
    <xf numFmtId="0" fontId="19" fillId="0" borderId="0" xfId="0" applyFont="1"/>
    <xf numFmtId="0" fontId="21" fillId="0" borderId="0" xfId="0" applyFont="1"/>
    <xf numFmtId="0" fontId="22" fillId="0" borderId="0" xfId="0" applyFont="1"/>
    <xf numFmtId="0" fontId="16" fillId="0" borderId="0" xfId="0" applyFont="1" applyAlignment="1">
      <alignment horizontal="left"/>
    </xf>
    <xf numFmtId="0" fontId="14" fillId="0" borderId="0" xfId="0" applyFont="1" applyAlignment="1"/>
    <xf numFmtId="0" fontId="23" fillId="0" borderId="0" xfId="0" applyFont="1" applyAlignment="1">
      <alignment horizontal="left"/>
    </xf>
    <xf numFmtId="0" fontId="24" fillId="0" borderId="0" xfId="0" applyFont="1" applyAlignment="1">
      <alignment horizontal="left"/>
    </xf>
    <xf numFmtId="0" fontId="24" fillId="0" borderId="0" xfId="0" applyFont="1"/>
    <xf numFmtId="0" fontId="25" fillId="0" borderId="0" xfId="0" applyFont="1" applyAlignment="1">
      <alignment horizontal="left"/>
    </xf>
    <xf numFmtId="0" fontId="25" fillId="0" borderId="0" xfId="0" applyFont="1"/>
    <xf numFmtId="0" fontId="21" fillId="0" borderId="0" xfId="0" applyFont="1" applyAlignment="1">
      <alignment horizontal="center"/>
    </xf>
    <xf numFmtId="3" fontId="0" fillId="0" borderId="0" xfId="0" applyNumberFormat="1" applyAlignment="1">
      <alignment horizontal="left"/>
    </xf>
    <xf numFmtId="0" fontId="1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5" fillId="0" borderId="0" xfId="0" applyFont="1" applyFill="1"/>
    <xf numFmtId="0" fontId="27" fillId="0" borderId="0" xfId="0" applyFont="1" applyFill="1"/>
    <xf numFmtId="0" fontId="28" fillId="0" borderId="0" xfId="0" applyFont="1" applyFill="1"/>
    <xf numFmtId="0" fontId="29" fillId="0" borderId="0" xfId="0" applyFont="1"/>
    <xf numFmtId="0" fontId="31" fillId="0" borderId="0" xfId="0" applyFont="1"/>
    <xf numFmtId="0" fontId="5" fillId="0" borderId="0" xfId="0" applyFont="1"/>
    <xf numFmtId="0" fontId="27" fillId="0" borderId="0" xfId="0" applyFont="1"/>
    <xf numFmtId="3" fontId="5" fillId="0" borderId="0" xfId="0" applyNumberFormat="1" applyFont="1"/>
    <xf numFmtId="0" fontId="31" fillId="0" borderId="0" xfId="0" applyFont="1" applyFill="1"/>
    <xf numFmtId="0" fontId="1" fillId="0" borderId="0" xfId="0" applyFont="1" applyFill="1" applyAlignment="1">
      <alignment horizontal="center"/>
    </xf>
    <xf numFmtId="2" fontId="32" fillId="0" borderId="0" xfId="0" applyNumberFormat="1" applyFont="1"/>
    <xf numFmtId="2" fontId="7" fillId="0" borderId="0" xfId="0" applyNumberFormat="1" applyFont="1"/>
    <xf numFmtId="167" fontId="32" fillId="0" borderId="0" xfId="0" applyNumberFormat="1" applyFont="1" applyAlignment="1">
      <alignment horizontal="center"/>
    </xf>
    <xf numFmtId="0" fontId="33" fillId="0" borderId="0" xfId="0" applyFont="1"/>
    <xf numFmtId="0" fontId="32" fillId="0" borderId="0" xfId="0" applyFont="1"/>
    <xf numFmtId="0" fontId="7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2" fontId="7" fillId="0" borderId="0" xfId="0" applyNumberFormat="1" applyFont="1" applyAlignment="1">
      <alignment horizontal="center"/>
    </xf>
    <xf numFmtId="2" fontId="32" fillId="0" borderId="0" xfId="0" applyNumberFormat="1" applyFont="1" applyAlignment="1">
      <alignment horizontal="center"/>
    </xf>
    <xf numFmtId="2" fontId="32" fillId="0" borderId="4" xfId="0" applyNumberFormat="1" applyFont="1" applyBorder="1" applyAlignment="1">
      <alignment horizontal="center"/>
    </xf>
    <xf numFmtId="2" fontId="7" fillId="0" borderId="4" xfId="0" applyNumberFormat="1" applyFont="1" applyBorder="1" applyAlignment="1">
      <alignment horizontal="center"/>
    </xf>
    <xf numFmtId="0" fontId="32" fillId="0" borderId="0" xfId="0" applyFont="1" applyAlignment="1">
      <alignment horizontal="center"/>
    </xf>
    <xf numFmtId="2" fontId="32" fillId="0" borderId="3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167" fontId="32" fillId="0" borderId="3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32" fillId="0" borderId="5" xfId="0" applyFont="1" applyBorder="1" applyAlignment="1">
      <alignment horizontal="center"/>
    </xf>
    <xf numFmtId="0" fontId="32" fillId="0" borderId="3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32" fillId="0" borderId="6" xfId="0" applyFont="1" applyBorder="1"/>
    <xf numFmtId="167" fontId="27" fillId="0" borderId="0" xfId="0" applyNumberFormat="1" applyFont="1" applyAlignment="1">
      <alignment horizontal="center"/>
    </xf>
    <xf numFmtId="2" fontId="7" fillId="0" borderId="0" xfId="0" applyNumberFormat="1" applyFont="1" applyBorder="1" applyAlignment="1">
      <alignment horizontal="center"/>
    </xf>
    <xf numFmtId="2" fontId="27" fillId="0" borderId="0" xfId="0" applyNumberFormat="1" applyFont="1" applyBorder="1" applyAlignment="1">
      <alignment horizontal="center"/>
    </xf>
    <xf numFmtId="2" fontId="30" fillId="0" borderId="0" xfId="0" applyNumberFormat="1" applyFont="1" applyBorder="1" applyAlignment="1">
      <alignment horizontal="center"/>
    </xf>
    <xf numFmtId="0" fontId="1" fillId="0" borderId="0" xfId="0" applyFont="1" applyAlignment="1"/>
    <xf numFmtId="0" fontId="21" fillId="0" borderId="0" xfId="0" applyFont="1" applyAlignment="1">
      <alignment horizontal="left"/>
    </xf>
    <xf numFmtId="0" fontId="29" fillId="0" borderId="0" xfId="0" applyFont="1" applyAlignment="1">
      <alignment horizontal="left"/>
    </xf>
    <xf numFmtId="0" fontId="17" fillId="0" borderId="0" xfId="0" applyFont="1" applyFill="1"/>
    <xf numFmtId="0" fontId="31" fillId="0" borderId="0" xfId="0" applyNumberFormat="1" applyFont="1" applyFill="1"/>
    <xf numFmtId="0" fontId="5" fillId="0" borderId="0" xfId="0" applyNumberFormat="1" applyFont="1" applyFill="1"/>
    <xf numFmtId="0" fontId="27" fillId="0" borderId="0" xfId="0" applyNumberFormat="1" applyFont="1" applyFill="1"/>
    <xf numFmtId="0" fontId="23" fillId="0" borderId="0" xfId="0" applyFont="1" applyFill="1" applyAlignment="1">
      <alignment horizontal="left"/>
    </xf>
    <xf numFmtId="0" fontId="21" fillId="0" borderId="0" xfId="0" applyFont="1" applyFill="1"/>
    <xf numFmtId="0" fontId="36" fillId="0" borderId="0" xfId="0" applyFont="1" applyFill="1"/>
    <xf numFmtId="0" fontId="14" fillId="0" borderId="0" xfId="0" applyFont="1" applyFill="1"/>
    <xf numFmtId="0" fontId="37" fillId="0" borderId="0" xfId="0" applyFont="1" applyFill="1"/>
    <xf numFmtId="0" fontId="29" fillId="0" borderId="0" xfId="0" applyFont="1" applyFill="1"/>
    <xf numFmtId="0" fontId="38" fillId="0" borderId="0" xfId="0" applyFont="1" applyFill="1"/>
    <xf numFmtId="0" fontId="26" fillId="0" borderId="0" xfId="0" applyFont="1" applyFill="1"/>
    <xf numFmtId="3" fontId="0" fillId="0" borderId="0" xfId="0" applyNumberFormat="1" applyFill="1"/>
    <xf numFmtId="11" fontId="0" fillId="0" borderId="0" xfId="0" applyNumberFormat="1" applyFill="1"/>
    <xf numFmtId="22" fontId="0" fillId="0" borderId="0" xfId="0" applyNumberFormat="1" applyFill="1"/>
    <xf numFmtId="167" fontId="40" fillId="0" borderId="0" xfId="0" applyNumberFormat="1" applyFont="1" applyAlignment="1">
      <alignment horizontal="center"/>
    </xf>
    <xf numFmtId="2" fontId="7" fillId="0" borderId="7" xfId="0" applyNumberFormat="1" applyFont="1" applyBorder="1" applyAlignment="1">
      <alignment horizontal="center"/>
    </xf>
    <xf numFmtId="167" fontId="7" fillId="0" borderId="7" xfId="0" applyNumberFormat="1" applyFont="1" applyBorder="1" applyAlignment="1">
      <alignment horizontal="center"/>
    </xf>
    <xf numFmtId="2" fontId="27" fillId="0" borderId="0" xfId="0" applyNumberFormat="1" applyFont="1" applyAlignment="1">
      <alignment horizontal="center"/>
    </xf>
    <xf numFmtId="0" fontId="41" fillId="0" borderId="0" xfId="0" applyFont="1"/>
    <xf numFmtId="0" fontId="37" fillId="0" borderId="0" xfId="0" applyFont="1" applyAlignment="1"/>
    <xf numFmtId="0" fontId="37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2" fontId="0" fillId="0" borderId="0" xfId="0" applyNumberFormat="1"/>
    <xf numFmtId="0" fontId="4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4" fontId="6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/>
    </xf>
    <xf numFmtId="0" fontId="44" fillId="0" borderId="0" xfId="0" applyFont="1"/>
    <xf numFmtId="0" fontId="1" fillId="0" borderId="0" xfId="0" applyFont="1" applyAlignment="1">
      <alignment horizontal="center"/>
    </xf>
    <xf numFmtId="0" fontId="45" fillId="0" borderId="0" xfId="0" applyFont="1" applyAlignment="1"/>
    <xf numFmtId="0" fontId="42" fillId="0" borderId="0" xfId="0" applyFont="1" applyFill="1"/>
    <xf numFmtId="0" fontId="15" fillId="0" borderId="0" xfId="0" applyFont="1" applyFill="1"/>
    <xf numFmtId="0" fontId="16" fillId="0" borderId="0" xfId="0" applyFont="1" applyFill="1"/>
    <xf numFmtId="0" fontId="42" fillId="0" borderId="0" xfId="0" applyFont="1"/>
    <xf numFmtId="0" fontId="26" fillId="0" borderId="0" xfId="0" applyFont="1"/>
    <xf numFmtId="3" fontId="5" fillId="0" borderId="0" xfId="0" applyNumberFormat="1" applyFont="1" applyFill="1"/>
    <xf numFmtId="0" fontId="1" fillId="0" borderId="0" xfId="0" applyFont="1" applyAlignment="1">
      <alignment horizontal="center"/>
    </xf>
    <xf numFmtId="0" fontId="0" fillId="0" borderId="0" xfId="0" applyAlignment="1"/>
    <xf numFmtId="0" fontId="46" fillId="0" borderId="0" xfId="0" applyFont="1"/>
    <xf numFmtId="168" fontId="0" fillId="0" borderId="0" xfId="0" applyNumberFormat="1"/>
    <xf numFmtId="0" fontId="29" fillId="0" borderId="0" xfId="0" applyFont="1" applyAlignment="1">
      <alignment horizontal="center"/>
    </xf>
    <xf numFmtId="3" fontId="0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21" fillId="0" borderId="0" xfId="0" applyFont="1" applyFill="1" applyAlignment="1">
      <alignment horizontal="center"/>
    </xf>
    <xf numFmtId="0" fontId="13" fillId="0" borderId="0" xfId="0" applyFont="1" applyFill="1"/>
    <xf numFmtId="0" fontId="9" fillId="0" borderId="2" xfId="0" applyFont="1" applyFill="1" applyBorder="1" applyAlignment="1">
      <alignment horizontal="left" vertical="top" wrapText="1" readingOrder="1"/>
    </xf>
    <xf numFmtId="0" fontId="8" fillId="0" borderId="0" xfId="0" applyFont="1" applyFill="1"/>
    <xf numFmtId="0" fontId="10" fillId="0" borderId="2" xfId="0" applyFont="1" applyFill="1" applyBorder="1" applyAlignment="1">
      <alignment horizontal="left" vertical="top" wrapText="1" readingOrder="1"/>
    </xf>
    <xf numFmtId="164" fontId="0" fillId="3" borderId="0" xfId="0" applyNumberFormat="1" applyFill="1"/>
    <xf numFmtId="164" fontId="0" fillId="2" borderId="0" xfId="0" applyNumberFormat="1" applyFill="1"/>
    <xf numFmtId="164" fontId="0" fillId="4" borderId="0" xfId="0" applyNumberFormat="1" applyFill="1"/>
    <xf numFmtId="164" fontId="0" fillId="13" borderId="0" xfId="0" applyNumberFormat="1" applyFill="1"/>
    <xf numFmtId="164" fontId="0" fillId="5" borderId="0" xfId="0" applyNumberFormat="1" applyFill="1"/>
    <xf numFmtId="164" fontId="0" fillId="14" borderId="0" xfId="0" applyNumberFormat="1" applyFill="1"/>
    <xf numFmtId="164" fontId="0" fillId="11" borderId="0" xfId="0" applyNumberFormat="1" applyFill="1"/>
    <xf numFmtId="164" fontId="0" fillId="7" borderId="0" xfId="0" applyNumberFormat="1" applyFill="1"/>
    <xf numFmtId="164" fontId="0" fillId="12" borderId="0" xfId="0" applyNumberFormat="1" applyFill="1"/>
    <xf numFmtId="164" fontId="0" fillId="9" borderId="0" xfId="0" applyNumberFormat="1" applyFill="1"/>
    <xf numFmtId="164" fontId="1" fillId="0" borderId="0" xfId="0" applyNumberFormat="1" applyFont="1"/>
    <xf numFmtId="164" fontId="27" fillId="0" borderId="0" xfId="0" applyNumberFormat="1" applyFont="1"/>
    <xf numFmtId="166" fontId="0" fillId="0" borderId="0" xfId="0" applyNumberFormat="1" applyFont="1"/>
    <xf numFmtId="0" fontId="0" fillId="0" borderId="0" xfId="0" applyNumberFormat="1" applyFont="1"/>
    <xf numFmtId="0" fontId="14" fillId="0" borderId="0" xfId="0" applyFont="1" applyFill="1" applyAlignment="1"/>
    <xf numFmtId="0" fontId="1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2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4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haredStrings" Target="sharedString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2.xml"/><Relationship Id="rId8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[1]Photometric1!$B$21:$B$24</c:f>
              <c:numCache>
                <c:formatCode>General</c:formatCode>
                <c:ptCount val="4"/>
                <c:pt idx="0">
                  <c:v>0.1</c:v>
                </c:pt>
                <c:pt idx="1">
                  <c:v>0.06</c:v>
                </c:pt>
                <c:pt idx="2">
                  <c:v>0.03</c:v>
                </c:pt>
                <c:pt idx="3">
                  <c:v>0</c:v>
                </c:pt>
              </c:numCache>
            </c:numRef>
          </c:xVal>
          <c:yVal>
            <c:numRef>
              <c:f>[1]Photometric1!$C$21:$C$24</c:f>
              <c:numCache>
                <c:formatCode>General</c:formatCode>
                <c:ptCount val="4"/>
                <c:pt idx="0">
                  <c:v>2.6545999999999998</c:v>
                </c:pt>
                <c:pt idx="1">
                  <c:v>1.6638999999999999</c:v>
                </c:pt>
                <c:pt idx="2">
                  <c:v>0.89049999999999996</c:v>
                </c:pt>
                <c:pt idx="3">
                  <c:v>0.21079999999999999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238-43EB-9D4E-18505E74DA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1963600"/>
        <c:axId val="1"/>
      </c:scatterChart>
      <c:valAx>
        <c:axId val="3019636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1963600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2710703300087731"/>
          <c:y val="0.42486980639031391"/>
          <c:w val="0.25625835260489371"/>
          <c:h val="0.13873299800500047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[2]Photometric1!$B$19:$B$22</c:f>
              <c:numCache>
                <c:formatCode>General</c:formatCode>
                <c:ptCount val="4"/>
                <c:pt idx="0">
                  <c:v>0.1</c:v>
                </c:pt>
                <c:pt idx="1">
                  <c:v>0.06</c:v>
                </c:pt>
                <c:pt idx="2">
                  <c:v>0.03</c:v>
                </c:pt>
                <c:pt idx="3">
                  <c:v>0</c:v>
                </c:pt>
              </c:numCache>
            </c:numRef>
          </c:xVal>
          <c:yVal>
            <c:numRef>
              <c:f>[2]Photometric1!$C$19:$C$22</c:f>
              <c:numCache>
                <c:formatCode>General</c:formatCode>
                <c:ptCount val="4"/>
                <c:pt idx="0">
                  <c:v>2.6545999999999998</c:v>
                </c:pt>
                <c:pt idx="1">
                  <c:v>1.6638999999999999</c:v>
                </c:pt>
                <c:pt idx="2">
                  <c:v>0.89049999999999996</c:v>
                </c:pt>
                <c:pt idx="3">
                  <c:v>0.21079999999999999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AF5-4A2E-9E88-2D75C972A2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3021248"/>
        <c:axId val="1"/>
      </c:scatterChart>
      <c:valAx>
        <c:axId val="3630212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6302124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7982400884706429"/>
          <c:y val="0.39760270648254342"/>
          <c:w val="0.3029650474209743"/>
          <c:h val="0.19277706980971801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Standard of aldehyde (µM)  </a:t>
            </a:r>
          </a:p>
        </c:rich>
      </c:tx>
      <c:layout>
        <c:manualLayout>
          <c:xMode val="edge"/>
          <c:yMode val="edge"/>
          <c:x val="0.29002481389578166"/>
          <c:y val="5.05529225908372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5690366867913222"/>
          <c:y val="0.18591486034569113"/>
          <c:w val="0.67652892023732769"/>
          <c:h val="0.61258998385332775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7802813109899727"/>
                  <c:y val="-4.5112781954887219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fig2h!$A$5:$A$12</c:f>
              <c:numCache>
                <c:formatCode>General</c:formatCode>
                <c:ptCount val="8"/>
                <c:pt idx="0">
                  <c:v>0</c:v>
                </c:pt>
                <c:pt idx="1">
                  <c:v>1</c:v>
                </c:pt>
                <c:pt idx="2">
                  <c:v>3</c:v>
                </c:pt>
                <c:pt idx="3">
                  <c:v>10</c:v>
                </c:pt>
                <c:pt idx="4">
                  <c:v>30</c:v>
                </c:pt>
                <c:pt idx="5">
                  <c:v>100</c:v>
                </c:pt>
                <c:pt idx="6">
                  <c:v>300</c:v>
                </c:pt>
                <c:pt idx="7">
                  <c:v>1000</c:v>
                </c:pt>
              </c:numCache>
            </c:numRef>
          </c:xVal>
          <c:yVal>
            <c:numRef>
              <c:f>fig2h!$E$5:$E$12</c:f>
              <c:numCache>
                <c:formatCode>General</c:formatCode>
                <c:ptCount val="8"/>
                <c:pt idx="0">
                  <c:v>77.5</c:v>
                </c:pt>
                <c:pt idx="1">
                  <c:v>115</c:v>
                </c:pt>
                <c:pt idx="2">
                  <c:v>256.5</c:v>
                </c:pt>
                <c:pt idx="3">
                  <c:v>376.5</c:v>
                </c:pt>
                <c:pt idx="4">
                  <c:v>530.5</c:v>
                </c:pt>
                <c:pt idx="5">
                  <c:v>877.5</c:v>
                </c:pt>
                <c:pt idx="6">
                  <c:v>973</c:v>
                </c:pt>
                <c:pt idx="7">
                  <c:v>11863.5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DBA-469B-BA5D-15CA0A969B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2985280"/>
        <c:axId val="292983616"/>
      </c:scatterChart>
      <c:valAx>
        <c:axId val="292985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2983616"/>
        <c:crosses val="autoZero"/>
        <c:crossBetween val="midCat"/>
      </c:valAx>
      <c:valAx>
        <c:axId val="292983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29852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Standard of aldehyde (µM)  </a:t>
            </a:r>
          </a:p>
        </c:rich>
      </c:tx>
      <c:layout>
        <c:manualLayout>
          <c:xMode val="edge"/>
          <c:yMode val="edge"/>
          <c:x val="0.29002481389578166"/>
          <c:y val="5.05529225908372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5690366867913222"/>
          <c:y val="0.18591486034569113"/>
          <c:w val="0.67652892023732769"/>
          <c:h val="0.61258998385332775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7802813109899727"/>
                  <c:y val="-4.5112781954887219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fig2h!$A$5:$A$12</c:f>
              <c:numCache>
                <c:formatCode>General</c:formatCode>
                <c:ptCount val="8"/>
                <c:pt idx="0">
                  <c:v>0</c:v>
                </c:pt>
                <c:pt idx="1">
                  <c:v>1</c:v>
                </c:pt>
                <c:pt idx="2">
                  <c:v>3</c:v>
                </c:pt>
                <c:pt idx="3">
                  <c:v>10</c:v>
                </c:pt>
                <c:pt idx="4">
                  <c:v>30</c:v>
                </c:pt>
                <c:pt idx="5">
                  <c:v>100</c:v>
                </c:pt>
                <c:pt idx="6">
                  <c:v>300</c:v>
                </c:pt>
                <c:pt idx="7">
                  <c:v>1000</c:v>
                </c:pt>
              </c:numCache>
            </c:numRef>
          </c:xVal>
          <c:yVal>
            <c:numRef>
              <c:f>fig2h!$E$5:$E$12</c:f>
              <c:numCache>
                <c:formatCode>General</c:formatCode>
                <c:ptCount val="8"/>
                <c:pt idx="0">
                  <c:v>77.5</c:v>
                </c:pt>
                <c:pt idx="1">
                  <c:v>115</c:v>
                </c:pt>
                <c:pt idx="2">
                  <c:v>256.5</c:v>
                </c:pt>
                <c:pt idx="3">
                  <c:v>376.5</c:v>
                </c:pt>
                <c:pt idx="4">
                  <c:v>530.5</c:v>
                </c:pt>
                <c:pt idx="5">
                  <c:v>877.5</c:v>
                </c:pt>
                <c:pt idx="6">
                  <c:v>973</c:v>
                </c:pt>
                <c:pt idx="7">
                  <c:v>11863.5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FBD-403C-9DC1-F371A3F756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2985280"/>
        <c:axId val="292983616"/>
      </c:scatterChart>
      <c:valAx>
        <c:axId val="292985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2983616"/>
        <c:crosses val="autoZero"/>
        <c:crossBetween val="midCat"/>
      </c:valAx>
      <c:valAx>
        <c:axId val="292983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29852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Standard value of CD8 (ng/mL)</a:t>
            </a:r>
          </a:p>
        </c:rich>
      </c:tx>
      <c:layout>
        <c:manualLayout>
          <c:xMode val="edge"/>
          <c:yMode val="edge"/>
          <c:x val="0.24389566929133857"/>
          <c:y val="1.38888888888888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82629883506575"/>
          <c:y val="0.16231139200944558"/>
          <c:w val="0.77669918119325465"/>
          <c:h val="0.59695602542137116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9501334208223973"/>
                  <c:y val="-8.2363662875473906E-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'Fig4f,g,h'!$A$5:$A$12</c:f>
              <c:numCache>
                <c:formatCode>General</c:formatCode>
                <c:ptCount val="8"/>
                <c:pt idx="0">
                  <c:v>0</c:v>
                </c:pt>
                <c:pt idx="1">
                  <c:v>0.31</c:v>
                </c:pt>
                <c:pt idx="2">
                  <c:v>0.63</c:v>
                </c:pt>
                <c:pt idx="3">
                  <c:v>1.25</c:v>
                </c:pt>
                <c:pt idx="4">
                  <c:v>2.5</c:v>
                </c:pt>
                <c:pt idx="5">
                  <c:v>5</c:v>
                </c:pt>
                <c:pt idx="6">
                  <c:v>10</c:v>
                </c:pt>
                <c:pt idx="7">
                  <c:v>20</c:v>
                </c:pt>
              </c:numCache>
            </c:numRef>
          </c:xVal>
          <c:yVal>
            <c:numRef>
              <c:f>'Fig4f,g,h'!$E$5:$E$12</c:f>
              <c:numCache>
                <c:formatCode>General</c:formatCode>
                <c:ptCount val="8"/>
                <c:pt idx="0">
                  <c:v>4.8000000000000001E-2</c:v>
                </c:pt>
                <c:pt idx="1">
                  <c:v>0.14199999999999999</c:v>
                </c:pt>
                <c:pt idx="2">
                  <c:v>0.2225</c:v>
                </c:pt>
                <c:pt idx="3">
                  <c:v>0.32500000000000001</c:v>
                </c:pt>
                <c:pt idx="4">
                  <c:v>0.62450000000000006</c:v>
                </c:pt>
                <c:pt idx="5">
                  <c:v>1.34</c:v>
                </c:pt>
                <c:pt idx="6">
                  <c:v>1.8460000000000001</c:v>
                </c:pt>
                <c:pt idx="7">
                  <c:v>3.1555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208-45FC-9712-4B97B4F17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3419824"/>
        <c:axId val="402698608"/>
      </c:scatterChart>
      <c:valAx>
        <c:axId val="4034198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2698608"/>
        <c:crosses val="autoZero"/>
        <c:crossBetween val="midCat"/>
      </c:valAx>
      <c:valAx>
        <c:axId val="40269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34198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 i="1"/>
              <a:t>H.</a:t>
            </a:r>
            <a:r>
              <a:rPr lang="en-US" b="1" i="1" baseline="0"/>
              <a:t> pylori </a:t>
            </a:r>
            <a:r>
              <a:rPr lang="en-US" b="1" baseline="0"/>
              <a:t>CagA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8.7735564304461944E-2"/>
                  <c:y val="-2.363990959463400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'Fig6D,E,F'!$A$5:$A$12</c:f>
              <c:numCache>
                <c:formatCode>General</c:formatCode>
                <c:ptCount val="8"/>
                <c:pt idx="0">
                  <c:v>0</c:v>
                </c:pt>
                <c:pt idx="1">
                  <c:v>0.31</c:v>
                </c:pt>
                <c:pt idx="2">
                  <c:v>0.625</c:v>
                </c:pt>
                <c:pt idx="3">
                  <c:v>1.25</c:v>
                </c:pt>
                <c:pt idx="4">
                  <c:v>2.5</c:v>
                </c:pt>
                <c:pt idx="5">
                  <c:v>5</c:v>
                </c:pt>
                <c:pt idx="6">
                  <c:v>10</c:v>
                </c:pt>
                <c:pt idx="7">
                  <c:v>20</c:v>
                </c:pt>
              </c:numCache>
            </c:numRef>
          </c:xVal>
          <c:yVal>
            <c:numRef>
              <c:f>'Fig6D,E,F'!$E$5:$E$12</c:f>
              <c:numCache>
                <c:formatCode>General</c:formatCode>
                <c:ptCount val="8"/>
                <c:pt idx="0">
                  <c:v>8.4499999999999992E-2</c:v>
                </c:pt>
                <c:pt idx="1">
                  <c:v>0.14549999999999999</c:v>
                </c:pt>
                <c:pt idx="2">
                  <c:v>0.19400000000000001</c:v>
                </c:pt>
                <c:pt idx="3">
                  <c:v>0.25700000000000001</c:v>
                </c:pt>
                <c:pt idx="4">
                  <c:v>0.57000000000000006</c:v>
                </c:pt>
                <c:pt idx="5">
                  <c:v>1.254</c:v>
                </c:pt>
                <c:pt idx="6">
                  <c:v>1.7919999999999998</c:v>
                </c:pt>
                <c:pt idx="7">
                  <c:v>2.9450000000000003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E1F-4C24-83CC-58914D56DE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5016512"/>
        <c:axId val="295017760"/>
      </c:scatterChart>
      <c:valAx>
        <c:axId val="295016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5017760"/>
        <c:crosses val="autoZero"/>
        <c:crossBetween val="midCat"/>
      </c:valAx>
      <c:valAx>
        <c:axId val="295017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50165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Standard value of CD8 (ng/mL)</a:t>
            </a:r>
          </a:p>
        </c:rich>
      </c:tx>
      <c:layout>
        <c:manualLayout>
          <c:xMode val="edge"/>
          <c:yMode val="edge"/>
          <c:x val="0.24389566929133857"/>
          <c:y val="1.38888888888888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82629883506575"/>
          <c:y val="0.16231139200944558"/>
          <c:w val="0.77669918119325465"/>
          <c:h val="0.59695602542137116"/>
        </c:manualLayout>
      </c:layout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9501334208223973"/>
                  <c:y val="-8.2363662875473906E-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'Fig4f,g,h'!$A$5:$A$12</c:f>
              <c:numCache>
                <c:formatCode>General</c:formatCode>
                <c:ptCount val="8"/>
                <c:pt idx="0">
                  <c:v>0</c:v>
                </c:pt>
                <c:pt idx="1">
                  <c:v>0.31</c:v>
                </c:pt>
                <c:pt idx="2">
                  <c:v>0.63</c:v>
                </c:pt>
                <c:pt idx="3">
                  <c:v>1.25</c:v>
                </c:pt>
                <c:pt idx="4">
                  <c:v>2.5</c:v>
                </c:pt>
                <c:pt idx="5">
                  <c:v>5</c:v>
                </c:pt>
                <c:pt idx="6">
                  <c:v>10</c:v>
                </c:pt>
                <c:pt idx="7">
                  <c:v>20</c:v>
                </c:pt>
              </c:numCache>
            </c:numRef>
          </c:xVal>
          <c:yVal>
            <c:numRef>
              <c:f>'Fig4f,g,h'!$E$5:$E$12</c:f>
              <c:numCache>
                <c:formatCode>General</c:formatCode>
                <c:ptCount val="8"/>
                <c:pt idx="0">
                  <c:v>4.8000000000000001E-2</c:v>
                </c:pt>
                <c:pt idx="1">
                  <c:v>0.14199999999999999</c:v>
                </c:pt>
                <c:pt idx="2">
                  <c:v>0.2225</c:v>
                </c:pt>
                <c:pt idx="3">
                  <c:v>0.32500000000000001</c:v>
                </c:pt>
                <c:pt idx="4">
                  <c:v>0.62450000000000006</c:v>
                </c:pt>
                <c:pt idx="5">
                  <c:v>1.34</c:v>
                </c:pt>
                <c:pt idx="6">
                  <c:v>1.8460000000000001</c:v>
                </c:pt>
                <c:pt idx="7">
                  <c:v>3.1555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ADC-462B-B6F2-ACB6485BF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03419824"/>
        <c:axId val="402698608"/>
      </c:scatterChart>
      <c:valAx>
        <c:axId val="4034198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2698608"/>
        <c:crosses val="autoZero"/>
        <c:crossBetween val="midCat"/>
      </c:valAx>
      <c:valAx>
        <c:axId val="40269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34198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 i="1"/>
              <a:t>H.</a:t>
            </a:r>
            <a:r>
              <a:rPr lang="en-US" b="1" i="1" baseline="0"/>
              <a:t> pylori </a:t>
            </a:r>
            <a:r>
              <a:rPr lang="en-US" b="1" baseline="0"/>
              <a:t>CagA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8.7735564304461944E-2"/>
                  <c:y val="-2.3639909594634002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'Fig6D,E,F'!$A$5:$A$12</c:f>
              <c:numCache>
                <c:formatCode>General</c:formatCode>
                <c:ptCount val="8"/>
                <c:pt idx="0">
                  <c:v>0</c:v>
                </c:pt>
                <c:pt idx="1">
                  <c:v>0.31</c:v>
                </c:pt>
                <c:pt idx="2">
                  <c:v>0.625</c:v>
                </c:pt>
                <c:pt idx="3">
                  <c:v>1.25</c:v>
                </c:pt>
                <c:pt idx="4">
                  <c:v>2.5</c:v>
                </c:pt>
                <c:pt idx="5">
                  <c:v>5</c:v>
                </c:pt>
                <c:pt idx="6">
                  <c:v>10</c:v>
                </c:pt>
                <c:pt idx="7">
                  <c:v>20</c:v>
                </c:pt>
              </c:numCache>
            </c:numRef>
          </c:xVal>
          <c:yVal>
            <c:numRef>
              <c:f>'Fig6D,E,F'!$E$5:$E$12</c:f>
              <c:numCache>
                <c:formatCode>General</c:formatCode>
                <c:ptCount val="8"/>
                <c:pt idx="0">
                  <c:v>8.4499999999999992E-2</c:v>
                </c:pt>
                <c:pt idx="1">
                  <c:v>0.14549999999999999</c:v>
                </c:pt>
                <c:pt idx="2">
                  <c:v>0.19400000000000001</c:v>
                </c:pt>
                <c:pt idx="3">
                  <c:v>0.25700000000000001</c:v>
                </c:pt>
                <c:pt idx="4">
                  <c:v>0.57000000000000006</c:v>
                </c:pt>
                <c:pt idx="5">
                  <c:v>1.254</c:v>
                </c:pt>
                <c:pt idx="6">
                  <c:v>1.7919999999999998</c:v>
                </c:pt>
                <c:pt idx="7">
                  <c:v>2.9450000000000003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C6-4F0F-9DEC-CBCF753B4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5016512"/>
        <c:axId val="295017760"/>
      </c:scatterChart>
      <c:valAx>
        <c:axId val="295016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5017760"/>
        <c:crosses val="autoZero"/>
        <c:crossBetween val="midCat"/>
      </c:valAx>
      <c:valAx>
        <c:axId val="295017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50165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4264063483292656"/>
                  <c:y val="-4.000000000000002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'[3]Nitrate-Nitrite'!$N$4:$N$11</c:f>
              <c:numCache>
                <c:formatCode>General</c:formatCode>
                <c:ptCount val="8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</c:numCache>
            </c:numRef>
          </c:xVal>
          <c:yVal>
            <c:numRef>
              <c:f>'[3]Nitrate-Nitrite'!$Q$4:$Q$11</c:f>
              <c:numCache>
                <c:formatCode>General</c:formatCode>
                <c:ptCount val="8"/>
                <c:pt idx="0">
                  <c:v>3.2500000000000001E-2</c:v>
                </c:pt>
                <c:pt idx="1">
                  <c:v>0.189</c:v>
                </c:pt>
                <c:pt idx="2">
                  <c:v>0.32700000000000001</c:v>
                </c:pt>
                <c:pt idx="3">
                  <c:v>0.47</c:v>
                </c:pt>
                <c:pt idx="4">
                  <c:v>0.59899999999999998</c:v>
                </c:pt>
                <c:pt idx="5">
                  <c:v>0.76800000000000002</c:v>
                </c:pt>
                <c:pt idx="6">
                  <c:v>0.90549999999999997</c:v>
                </c:pt>
                <c:pt idx="7">
                  <c:v>1.0365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6A2-44D4-8762-A9E7A4E90C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8060624"/>
        <c:axId val="448060952"/>
      </c:scatterChart>
      <c:valAx>
        <c:axId val="448060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060952"/>
        <c:crosses val="autoZero"/>
        <c:crossBetween val="midCat"/>
      </c:valAx>
      <c:valAx>
        <c:axId val="448060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0606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4264063483292656"/>
                  <c:y val="-4.000000000000002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'[3]Nitrate-Nitrite'!$N$4:$N$11</c:f>
              <c:numCache>
                <c:formatCode>General</c:formatCode>
                <c:ptCount val="8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</c:numCache>
            </c:numRef>
          </c:xVal>
          <c:yVal>
            <c:numRef>
              <c:f>'[3]Nitrate-Nitrite'!$Q$4:$Q$11</c:f>
              <c:numCache>
                <c:formatCode>General</c:formatCode>
                <c:ptCount val="8"/>
                <c:pt idx="0">
                  <c:v>3.2500000000000001E-2</c:v>
                </c:pt>
                <c:pt idx="1">
                  <c:v>0.189</c:v>
                </c:pt>
                <c:pt idx="2">
                  <c:v>0.32700000000000001</c:v>
                </c:pt>
                <c:pt idx="3">
                  <c:v>0.47</c:v>
                </c:pt>
                <c:pt idx="4">
                  <c:v>0.59899999999999998</c:v>
                </c:pt>
                <c:pt idx="5">
                  <c:v>0.76800000000000002</c:v>
                </c:pt>
                <c:pt idx="6">
                  <c:v>0.90549999999999997</c:v>
                </c:pt>
                <c:pt idx="7">
                  <c:v>1.0365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083-4A5E-A9C1-ECF6542017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8060624"/>
        <c:axId val="448060952"/>
      </c:scatterChart>
      <c:valAx>
        <c:axId val="448060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060952"/>
        <c:crosses val="autoZero"/>
        <c:crossBetween val="midCat"/>
      </c:valAx>
      <c:valAx>
        <c:axId val="448060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0606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4264063483292656"/>
                  <c:y val="-4.000000000000002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'[3]Nitrate-Nitrite'!$N$4:$N$11</c:f>
              <c:numCache>
                <c:formatCode>General</c:formatCode>
                <c:ptCount val="8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</c:numCache>
            </c:numRef>
          </c:xVal>
          <c:yVal>
            <c:numRef>
              <c:f>'[3]Nitrate-Nitrite'!$Q$4:$Q$11</c:f>
              <c:numCache>
                <c:formatCode>General</c:formatCode>
                <c:ptCount val="8"/>
                <c:pt idx="0">
                  <c:v>3.2500000000000001E-2</c:v>
                </c:pt>
                <c:pt idx="1">
                  <c:v>0.189</c:v>
                </c:pt>
                <c:pt idx="2">
                  <c:v>0.32700000000000001</c:v>
                </c:pt>
                <c:pt idx="3">
                  <c:v>0.47</c:v>
                </c:pt>
                <c:pt idx="4">
                  <c:v>0.59899999999999998</c:v>
                </c:pt>
                <c:pt idx="5">
                  <c:v>0.76800000000000002</c:v>
                </c:pt>
                <c:pt idx="6">
                  <c:v>0.90549999999999997</c:v>
                </c:pt>
                <c:pt idx="7">
                  <c:v>1.0365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520-4DB6-B3FF-4E4EECEF5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8060624"/>
        <c:axId val="448060952"/>
      </c:scatterChart>
      <c:valAx>
        <c:axId val="448060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060952"/>
        <c:crosses val="autoZero"/>
        <c:crossBetween val="midCat"/>
      </c:valAx>
      <c:valAx>
        <c:axId val="448060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0606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4264063483292656"/>
                  <c:y val="-4.000000000000002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'[3]Nitrate-Nitrite'!$N$4:$N$11</c:f>
              <c:numCache>
                <c:formatCode>General</c:formatCode>
                <c:ptCount val="8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</c:numCache>
            </c:numRef>
          </c:xVal>
          <c:yVal>
            <c:numRef>
              <c:f>'[3]Nitrate-Nitrite'!$Q$4:$Q$11</c:f>
              <c:numCache>
                <c:formatCode>General</c:formatCode>
                <c:ptCount val="8"/>
                <c:pt idx="0">
                  <c:v>3.2500000000000001E-2</c:v>
                </c:pt>
                <c:pt idx="1">
                  <c:v>0.189</c:v>
                </c:pt>
                <c:pt idx="2">
                  <c:v>0.32700000000000001</c:v>
                </c:pt>
                <c:pt idx="3">
                  <c:v>0.47</c:v>
                </c:pt>
                <c:pt idx="4">
                  <c:v>0.59899999999999998</c:v>
                </c:pt>
                <c:pt idx="5">
                  <c:v>0.76800000000000002</c:v>
                </c:pt>
                <c:pt idx="6">
                  <c:v>0.90549999999999997</c:v>
                </c:pt>
                <c:pt idx="7">
                  <c:v>1.0365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4D5-4744-AA06-9217F56CE1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8060624"/>
        <c:axId val="448060952"/>
      </c:scatterChart>
      <c:valAx>
        <c:axId val="4480606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060952"/>
        <c:crosses val="autoZero"/>
        <c:crossBetween val="midCat"/>
      </c:valAx>
      <c:valAx>
        <c:axId val="448060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0606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tif"/><Relationship Id="rId2" Type="http://schemas.openxmlformats.org/officeDocument/2006/relationships/image" Target="../media/image2.tif"/><Relationship Id="rId1" Type="http://schemas.openxmlformats.org/officeDocument/2006/relationships/image" Target="../media/image1.ti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tif"/><Relationship Id="rId1" Type="http://schemas.openxmlformats.org/officeDocument/2006/relationships/image" Target="../media/image4.tif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tif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600075</xdr:colOff>
      <xdr:row>58</xdr:row>
      <xdr:rowOff>0</xdr:rowOff>
    </xdr:from>
    <xdr:to>
      <xdr:col>39</xdr:col>
      <xdr:colOff>295275</xdr:colOff>
      <xdr:row>66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375228</xdr:colOff>
      <xdr:row>37</xdr:row>
      <xdr:rowOff>28863</xdr:rowOff>
    </xdr:from>
    <xdr:to>
      <xdr:col>45</xdr:col>
      <xdr:colOff>7588</xdr:colOff>
      <xdr:row>48</xdr:row>
      <xdr:rowOff>197138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85725</xdr:colOff>
      <xdr:row>0</xdr:row>
      <xdr:rowOff>95250</xdr:rowOff>
    </xdr:from>
    <xdr:to>
      <xdr:col>14</xdr:col>
      <xdr:colOff>409575</xdr:colOff>
      <xdr:row>13</xdr:row>
      <xdr:rowOff>152400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295275</xdr:colOff>
      <xdr:row>0</xdr:row>
      <xdr:rowOff>0</xdr:rowOff>
    </xdr:from>
    <xdr:to>
      <xdr:col>15</xdr:col>
      <xdr:colOff>9525</xdr:colOff>
      <xdr:row>13</xdr:row>
      <xdr:rowOff>57150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119062</xdr:colOff>
      <xdr:row>0</xdr:row>
      <xdr:rowOff>114301</xdr:rowOff>
    </xdr:from>
    <xdr:to>
      <xdr:col>13</xdr:col>
      <xdr:colOff>257175</xdr:colOff>
      <xdr:row>13</xdr:row>
      <xdr:rowOff>114300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369496</xdr:colOff>
      <xdr:row>2</xdr:row>
      <xdr:rowOff>182705</xdr:rowOff>
    </xdr:from>
    <xdr:to>
      <xdr:col>9</xdr:col>
      <xdr:colOff>449283</xdr:colOff>
      <xdr:row>21</xdr:row>
      <xdr:rowOff>101985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632" y="553809"/>
          <a:ext cx="5312352" cy="3457137"/>
        </a:xfrm>
        <a:prstGeom prst="rect">
          <a:avLst/>
        </a:prstGeom>
      </xdr:spPr>
    </xdr:pic>
    <xdr:clientData/>
  </xdr:twoCellAnchor>
  <xdr:twoCellAnchor editAs="oneCell">
    <xdr:from>
      <xdr:col>1</xdr:col>
      <xdr:colOff>412081</xdr:colOff>
      <xdr:row>24</xdr:row>
      <xdr:rowOff>143907</xdr:rowOff>
    </xdr:from>
    <xdr:to>
      <xdr:col>9</xdr:col>
      <xdr:colOff>482436</xdr:colOff>
      <xdr:row>44</xdr:row>
      <xdr:rowOff>19078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8217" y="5153810"/>
          <a:ext cx="5302920" cy="3598580"/>
        </a:xfrm>
        <a:prstGeom prst="rect">
          <a:avLst/>
        </a:prstGeom>
      </xdr:spPr>
    </xdr:pic>
    <xdr:clientData/>
  </xdr:twoCellAnchor>
  <xdr:twoCellAnchor editAs="oneCell">
    <xdr:from>
      <xdr:col>1</xdr:col>
      <xdr:colOff>185554</xdr:colOff>
      <xdr:row>49</xdr:row>
      <xdr:rowOff>51119</xdr:rowOff>
    </xdr:from>
    <xdr:to>
      <xdr:col>9</xdr:col>
      <xdr:colOff>556657</xdr:colOff>
      <xdr:row>69</xdr:row>
      <xdr:rowOff>160536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690" y="9699820"/>
          <a:ext cx="5603668" cy="382045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590550</xdr:colOff>
      <xdr:row>1</xdr:row>
      <xdr:rowOff>0</xdr:rowOff>
    </xdr:from>
    <xdr:to>
      <xdr:col>14</xdr:col>
      <xdr:colOff>342900</xdr:colOff>
      <xdr:row>14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119062</xdr:colOff>
      <xdr:row>0</xdr:row>
      <xdr:rowOff>114301</xdr:rowOff>
    </xdr:from>
    <xdr:to>
      <xdr:col>13</xdr:col>
      <xdr:colOff>257175</xdr:colOff>
      <xdr:row>13</xdr:row>
      <xdr:rowOff>114300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590550</xdr:colOff>
      <xdr:row>1</xdr:row>
      <xdr:rowOff>0</xdr:rowOff>
    </xdr:from>
    <xdr:to>
      <xdr:col>14</xdr:col>
      <xdr:colOff>342900</xdr:colOff>
      <xdr:row>14</xdr:row>
      <xdr:rowOff>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215238</xdr:colOff>
      <xdr:row>5</xdr:row>
      <xdr:rowOff>7791</xdr:rowOff>
    </xdr:from>
    <xdr:to>
      <xdr:col>12</xdr:col>
      <xdr:colOff>560483</xdr:colOff>
      <xdr:row>25</xdr:row>
      <xdr:rowOff>37109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238" y="935551"/>
          <a:ext cx="7618881" cy="37403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</xdr:row>
      <xdr:rowOff>12369</xdr:rowOff>
    </xdr:from>
    <xdr:to>
      <xdr:col>12</xdr:col>
      <xdr:colOff>173184</xdr:colOff>
      <xdr:row>55</xdr:row>
      <xdr:rowOff>107367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764479"/>
          <a:ext cx="7446820" cy="454824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477301</xdr:colOff>
      <xdr:row>68</xdr:row>
      <xdr:rowOff>32844</xdr:rowOff>
    </xdr:from>
    <xdr:to>
      <xdr:col>10</xdr:col>
      <xdr:colOff>383750</xdr:colOff>
      <xdr:row>97</xdr:row>
      <xdr:rowOff>124809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698" y="12951810"/>
          <a:ext cx="4198173" cy="5489465"/>
        </a:xfrm>
        <a:prstGeom prst="rect">
          <a:avLst/>
        </a:prstGeom>
      </xdr:spPr>
    </xdr:pic>
    <xdr:clientData/>
  </xdr:twoCellAnchor>
  <xdr:twoCellAnchor>
    <xdr:from>
      <xdr:col>0</xdr:col>
      <xdr:colOff>722586</xdr:colOff>
      <xdr:row>64</xdr:row>
      <xdr:rowOff>87584</xdr:rowOff>
    </xdr:from>
    <xdr:to>
      <xdr:col>9</xdr:col>
      <xdr:colOff>109483</xdr:colOff>
      <xdr:row>66</xdr:row>
      <xdr:rowOff>91964</xdr:rowOff>
    </xdr:to>
    <xdr:sp macro="" textlink="">
      <xdr:nvSpPr>
        <xdr:cNvPr id="3" name="Rectangle 2"/>
        <xdr:cNvSpPr>
          <a:spLocks noGrp="1" noChangeArrowheads="1"/>
        </xdr:cNvSpPr>
      </xdr:nvSpPr>
      <xdr:spPr bwMode="auto">
        <a:xfrm>
          <a:off x="722586" y="12262067"/>
          <a:ext cx="5309914" cy="376621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txBody>
        <a:bodyPr vert="horz" wrap="square" lIns="91440" tIns="45720" rIns="91440" bIns="45720" numCol="1" anchor="ctr" anchorCtr="0" compatLnSpc="1">
          <a:prstTxWarp prst="textNoShape">
            <a:avLst/>
          </a:prstTxWarp>
        </a:bodyPr>
        <a:lstStyle>
          <a:lvl1pPr algn="ctr" rtl="0" fontAlgn="base">
            <a:spcBef>
              <a:spcPct val="0"/>
            </a:spcBef>
            <a:spcAft>
              <a:spcPct val="0"/>
            </a:spcAft>
            <a:defRPr sz="4400" kern="1200">
              <a:solidFill>
                <a:schemeClr val="tx2"/>
              </a:solidFill>
              <a:latin typeface="+mj-lt"/>
              <a:ea typeface="+mj-ea"/>
              <a:cs typeface="+mj-cs"/>
            </a:defRPr>
          </a:lvl1pPr>
          <a:lvl2pPr algn="ctr" rtl="0" fontAlgn="base">
            <a:spcBef>
              <a:spcPct val="0"/>
            </a:spcBef>
            <a:spcAft>
              <a:spcPct val="0"/>
            </a:spcAft>
            <a:defRPr sz="4400">
              <a:solidFill>
                <a:schemeClr val="tx2"/>
              </a:solidFill>
              <a:latin typeface="Arial" panose="020B0604020202020204" pitchFamily="34" charset="0"/>
            </a:defRPr>
          </a:lvl2pPr>
          <a:lvl3pPr algn="ctr" rtl="0" fontAlgn="base">
            <a:spcBef>
              <a:spcPct val="0"/>
            </a:spcBef>
            <a:spcAft>
              <a:spcPct val="0"/>
            </a:spcAft>
            <a:defRPr sz="4400">
              <a:solidFill>
                <a:schemeClr val="tx2"/>
              </a:solidFill>
              <a:latin typeface="Arial" panose="020B0604020202020204" pitchFamily="34" charset="0"/>
            </a:defRPr>
          </a:lvl3pPr>
          <a:lvl4pPr algn="ctr" rtl="0" fontAlgn="base">
            <a:spcBef>
              <a:spcPct val="0"/>
            </a:spcBef>
            <a:spcAft>
              <a:spcPct val="0"/>
            </a:spcAft>
            <a:defRPr sz="4400">
              <a:solidFill>
                <a:schemeClr val="tx2"/>
              </a:solidFill>
              <a:latin typeface="Arial" panose="020B0604020202020204" pitchFamily="34" charset="0"/>
            </a:defRPr>
          </a:lvl4pPr>
          <a:lvl5pPr algn="ctr" rtl="0" fontAlgn="base">
            <a:spcBef>
              <a:spcPct val="0"/>
            </a:spcBef>
            <a:spcAft>
              <a:spcPct val="0"/>
            </a:spcAft>
            <a:defRPr sz="4400">
              <a:solidFill>
                <a:schemeClr val="tx2"/>
              </a:solidFill>
              <a:latin typeface="Arial" panose="020B0604020202020204" pitchFamily="34" charset="0"/>
            </a:defRPr>
          </a:lvl5pPr>
          <a:lvl6pPr marL="457200" algn="ctr" rtl="0" fontAlgn="base">
            <a:spcBef>
              <a:spcPct val="0"/>
            </a:spcBef>
            <a:spcAft>
              <a:spcPct val="0"/>
            </a:spcAft>
            <a:defRPr sz="4400">
              <a:solidFill>
                <a:schemeClr val="tx2"/>
              </a:solidFill>
              <a:latin typeface="Arial" panose="020B0604020202020204" pitchFamily="34" charset="0"/>
            </a:defRPr>
          </a:lvl6pPr>
          <a:lvl7pPr marL="914400" algn="ctr" rtl="0" fontAlgn="base">
            <a:spcBef>
              <a:spcPct val="0"/>
            </a:spcBef>
            <a:spcAft>
              <a:spcPct val="0"/>
            </a:spcAft>
            <a:defRPr sz="4400">
              <a:solidFill>
                <a:schemeClr val="tx2"/>
              </a:solidFill>
              <a:latin typeface="Arial" panose="020B0604020202020204" pitchFamily="34" charset="0"/>
            </a:defRPr>
          </a:lvl7pPr>
          <a:lvl8pPr marL="1371600" algn="ctr" rtl="0" fontAlgn="base">
            <a:spcBef>
              <a:spcPct val="0"/>
            </a:spcBef>
            <a:spcAft>
              <a:spcPct val="0"/>
            </a:spcAft>
            <a:defRPr sz="4400">
              <a:solidFill>
                <a:schemeClr val="tx2"/>
              </a:solidFill>
              <a:latin typeface="Arial" panose="020B0604020202020204" pitchFamily="34" charset="0"/>
            </a:defRPr>
          </a:lvl8pPr>
          <a:lvl9pPr marL="1828800" algn="ctr" rtl="0" fontAlgn="base">
            <a:spcBef>
              <a:spcPct val="0"/>
            </a:spcBef>
            <a:spcAft>
              <a:spcPct val="0"/>
            </a:spcAft>
            <a:defRPr sz="4400">
              <a:solidFill>
                <a:schemeClr val="tx2"/>
              </a:solidFill>
              <a:latin typeface="Arial" panose="020B0604020202020204" pitchFamily="34" charset="0"/>
            </a:defRPr>
          </a:lvl9pPr>
        </a:lstStyle>
        <a:p>
          <a:r>
            <a:rPr lang="en-US" altLang="en-US" sz="2000" b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Example of Lineage/Gating Strategy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428625</xdr:colOff>
      <xdr:row>4</xdr:row>
      <xdr:rowOff>0</xdr:rowOff>
    </xdr:from>
    <xdr:to>
      <xdr:col>12</xdr:col>
      <xdr:colOff>28575</xdr:colOff>
      <xdr:row>14</xdr:row>
      <xdr:rowOff>28575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E5F929D-C8C4-48EB-999F-F55B346F61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428625</xdr:colOff>
      <xdr:row>4</xdr:row>
      <xdr:rowOff>0</xdr:rowOff>
    </xdr:from>
    <xdr:to>
      <xdr:col>12</xdr:col>
      <xdr:colOff>28575</xdr:colOff>
      <xdr:row>14</xdr:row>
      <xdr:rowOff>28575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E5F929D-C8C4-48EB-999F-F55B346F61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428625</xdr:colOff>
      <xdr:row>4</xdr:row>
      <xdr:rowOff>0</xdr:rowOff>
    </xdr:from>
    <xdr:to>
      <xdr:col>12</xdr:col>
      <xdr:colOff>28575</xdr:colOff>
      <xdr:row>14</xdr:row>
      <xdr:rowOff>28575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E5F929D-C8C4-48EB-999F-F55B346F61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428625</xdr:colOff>
      <xdr:row>4</xdr:row>
      <xdr:rowOff>0</xdr:rowOff>
    </xdr:from>
    <xdr:to>
      <xdr:col>12</xdr:col>
      <xdr:colOff>28575</xdr:colOff>
      <xdr:row>14</xdr:row>
      <xdr:rowOff>28575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E5F929D-C8C4-48EB-999F-F55B346F61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3.%20hormel%20china/paper%20writting/paper%202%20alcohol/2/data%20statistics/human%20dose/HUMAN%20EXCRETE%20ALCOHO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3.%20hormel%20china/paper%20writting/paper%202%20alcohol/2/data%20statistics/human%20dose/MOUSE%20ALCOHOL%20EXCRET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ebruary%2019\data%20fil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otometric1"/>
    </sheetNames>
    <sheetDataSet>
      <sheetData sheetId="0">
        <row r="21">
          <cell r="B21">
            <v>0.1</v>
          </cell>
          <cell r="C21">
            <v>2.6545999999999998</v>
          </cell>
        </row>
        <row r="22">
          <cell r="B22">
            <v>0.06</v>
          </cell>
          <cell r="C22">
            <v>1.6638999999999999</v>
          </cell>
        </row>
        <row r="23">
          <cell r="B23">
            <v>0.03</v>
          </cell>
          <cell r="C23">
            <v>0.89049999999999996</v>
          </cell>
        </row>
        <row r="24">
          <cell r="B24">
            <v>0</v>
          </cell>
          <cell r="C24">
            <v>0.21079999999999999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otometric1"/>
    </sheetNames>
    <sheetDataSet>
      <sheetData sheetId="0">
        <row r="19">
          <cell r="B19">
            <v>0.1</v>
          </cell>
          <cell r="C19">
            <v>2.6545999999999998</v>
          </cell>
        </row>
        <row r="20">
          <cell r="B20">
            <v>0.06</v>
          </cell>
          <cell r="C20">
            <v>1.6638999999999999</v>
          </cell>
        </row>
        <row r="21">
          <cell r="B21">
            <v>0.03</v>
          </cell>
          <cell r="C21">
            <v>0.89049999999999996</v>
          </cell>
        </row>
        <row r="22">
          <cell r="B22">
            <v>0</v>
          </cell>
          <cell r="C22">
            <v>0.21079999999999999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tein conc"/>
      <sheetName val="MPO"/>
      <sheetName val="AOPP"/>
      <sheetName val="MDA"/>
      <sheetName val="Nitrate-Nitrite"/>
      <sheetName val="IL-12"/>
      <sheetName val="IFN-g"/>
      <sheetName val="TNF-a"/>
      <sheetName val="C-circle"/>
    </sheetNames>
    <sheetDataSet>
      <sheetData sheetId="0"/>
      <sheetData sheetId="1"/>
      <sheetData sheetId="2"/>
      <sheetData sheetId="3"/>
      <sheetData sheetId="4">
        <row r="4">
          <cell r="N4">
            <v>0</v>
          </cell>
          <cell r="Q4">
            <v>3.2500000000000001E-2</v>
          </cell>
        </row>
        <row r="5">
          <cell r="N5">
            <v>5</v>
          </cell>
          <cell r="Q5">
            <v>0.189</v>
          </cell>
        </row>
        <row r="6">
          <cell r="N6">
            <v>10</v>
          </cell>
          <cell r="Q6">
            <v>0.32700000000000001</v>
          </cell>
        </row>
        <row r="7">
          <cell r="N7">
            <v>15</v>
          </cell>
          <cell r="Q7">
            <v>0.47</v>
          </cell>
        </row>
        <row r="8">
          <cell r="N8">
            <v>20</v>
          </cell>
          <cell r="Q8">
            <v>0.59899999999999998</v>
          </cell>
        </row>
        <row r="9">
          <cell r="N9">
            <v>25</v>
          </cell>
          <cell r="Q9">
            <v>0.76800000000000002</v>
          </cell>
        </row>
        <row r="10">
          <cell r="N10">
            <v>30</v>
          </cell>
          <cell r="Q10">
            <v>0.90549999999999997</v>
          </cell>
        </row>
        <row r="11">
          <cell r="N11">
            <v>35</v>
          </cell>
          <cell r="Q11">
            <v>1.0365</v>
          </cell>
        </row>
      </sheetData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22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23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4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13"/>
  <sheetViews>
    <sheetView topLeftCell="A2" workbookViewId="0">
      <selection activeCell="A2" sqref="A2"/>
    </sheetView>
  </sheetViews>
  <sheetFormatPr defaultRowHeight="15"/>
  <sheetData>
    <row r="2" spans="1:29">
      <c r="A2" s="1" t="s">
        <v>764</v>
      </c>
    </row>
    <row r="4" spans="1:29">
      <c r="B4" s="169" t="s">
        <v>174</v>
      </c>
      <c r="C4" s="169"/>
      <c r="D4" s="169"/>
      <c r="E4" s="169"/>
      <c r="F4" s="169"/>
      <c r="G4" s="169"/>
      <c r="I4" s="169" t="s">
        <v>175</v>
      </c>
      <c r="J4" s="169"/>
      <c r="K4" s="169"/>
      <c r="L4" s="169"/>
      <c r="M4" s="169"/>
      <c r="N4" s="169"/>
      <c r="P4" s="170" t="s">
        <v>204</v>
      </c>
      <c r="Q4" s="171"/>
      <c r="R4" s="171"/>
      <c r="S4" s="171"/>
      <c r="T4" s="171"/>
      <c r="U4" s="171"/>
      <c r="W4" s="169" t="s">
        <v>203</v>
      </c>
      <c r="X4" s="171"/>
      <c r="Y4" s="171"/>
      <c r="Z4" s="171"/>
      <c r="AA4" s="171"/>
      <c r="AB4" s="171"/>
    </row>
    <row r="5" spans="1:29">
      <c r="B5" s="8"/>
      <c r="C5" s="21" t="s">
        <v>4</v>
      </c>
      <c r="D5" s="21" t="s">
        <v>5</v>
      </c>
      <c r="E5" s="21" t="s">
        <v>6</v>
      </c>
      <c r="F5" s="21" t="s">
        <v>7</v>
      </c>
      <c r="G5" s="21" t="s">
        <v>8</v>
      </c>
      <c r="H5" s="8"/>
      <c r="I5" s="8"/>
      <c r="J5" s="21" t="s">
        <v>4</v>
      </c>
      <c r="K5" s="21" t="s">
        <v>5</v>
      </c>
      <c r="L5" s="21" t="s">
        <v>6</v>
      </c>
      <c r="M5" s="21" t="s">
        <v>7</v>
      </c>
      <c r="N5" s="21" t="s">
        <v>8</v>
      </c>
      <c r="O5" s="8"/>
      <c r="P5" s="8"/>
      <c r="Q5" s="21" t="s">
        <v>4</v>
      </c>
      <c r="R5" s="21" t="s">
        <v>5</v>
      </c>
      <c r="S5" s="21" t="s">
        <v>6</v>
      </c>
      <c r="T5" s="21" t="s">
        <v>7</v>
      </c>
      <c r="U5" s="21" t="s">
        <v>8</v>
      </c>
      <c r="V5" s="8"/>
      <c r="W5" s="8"/>
      <c r="X5" s="21" t="s">
        <v>4</v>
      </c>
      <c r="Y5" s="21" t="s">
        <v>5</v>
      </c>
      <c r="Z5" s="21" t="s">
        <v>6</v>
      </c>
      <c r="AA5" s="21" t="s">
        <v>7</v>
      </c>
      <c r="AB5" s="21" t="s">
        <v>8</v>
      </c>
      <c r="AC5" s="8"/>
    </row>
    <row r="6" spans="1:29">
      <c r="B6" s="21" t="s">
        <v>1</v>
      </c>
      <c r="C6" s="8">
        <v>0</v>
      </c>
      <c r="D6" s="8">
        <v>0</v>
      </c>
      <c r="E6" s="8">
        <v>0</v>
      </c>
      <c r="F6" s="8">
        <v>0</v>
      </c>
      <c r="G6" s="8">
        <v>0</v>
      </c>
      <c r="H6" s="8"/>
      <c r="I6" s="21" t="s">
        <v>1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/>
      <c r="P6" s="21" t="s">
        <v>1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/>
      <c r="W6" s="21" t="s">
        <v>1</v>
      </c>
      <c r="X6" s="8">
        <v>6.4</v>
      </c>
      <c r="Y6" s="8">
        <v>6.9</v>
      </c>
      <c r="Z6" s="8">
        <v>6.9</v>
      </c>
      <c r="AA6" s="8">
        <v>9.6</v>
      </c>
      <c r="AB6" s="8">
        <v>9.6</v>
      </c>
      <c r="AC6" s="8"/>
    </row>
    <row r="7" spans="1:29">
      <c r="B7" s="21" t="s">
        <v>2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/>
      <c r="I7" s="21" t="s">
        <v>2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/>
      <c r="P7" s="21" t="s">
        <v>2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/>
      <c r="W7" s="21" t="s">
        <v>2</v>
      </c>
      <c r="X7" s="8">
        <v>7.3</v>
      </c>
      <c r="Y7" s="8">
        <v>4.76</v>
      </c>
      <c r="Z7" s="8">
        <v>5.3</v>
      </c>
      <c r="AA7" s="8">
        <v>8.1999999999999993</v>
      </c>
      <c r="AB7" s="8">
        <v>7.3</v>
      </c>
      <c r="AC7" s="8"/>
    </row>
    <row r="8" spans="1:29">
      <c r="B8" s="21" t="s">
        <v>3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/>
      <c r="I8" s="21" t="s">
        <v>3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/>
      <c r="P8" s="21" t="s">
        <v>3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/>
      <c r="W8" s="21" t="s">
        <v>3</v>
      </c>
      <c r="X8" s="8">
        <f>X6*X7</f>
        <v>46.72</v>
      </c>
      <c r="Y8" s="8">
        <f t="shared" ref="Y8:AB8" si="0">Y6*Y7</f>
        <v>32.844000000000001</v>
      </c>
      <c r="Z8" s="8">
        <f t="shared" si="0"/>
        <v>36.57</v>
      </c>
      <c r="AA8" s="8">
        <f t="shared" si="0"/>
        <v>78.719999999999985</v>
      </c>
      <c r="AB8" s="8">
        <f t="shared" si="0"/>
        <v>70.08</v>
      </c>
      <c r="AC8" s="8"/>
    </row>
    <row r="9" spans="1:29">
      <c r="X9" s="8"/>
      <c r="Y9" s="8"/>
      <c r="Z9" s="8"/>
      <c r="AA9" s="8"/>
      <c r="AB9" s="8"/>
      <c r="AC9" s="8"/>
    </row>
    <row r="10" spans="1:29">
      <c r="X10" s="8"/>
      <c r="Y10" s="8"/>
      <c r="Z10" s="8"/>
      <c r="AA10" s="8"/>
      <c r="AB10" s="8"/>
      <c r="AC10" s="8"/>
    </row>
    <row r="11" spans="1:29">
      <c r="X11" s="8"/>
      <c r="Y11" s="8"/>
      <c r="Z11" s="8"/>
      <c r="AA11" s="8"/>
      <c r="AB11" s="8"/>
      <c r="AC11" s="8"/>
    </row>
    <row r="12" spans="1:29">
      <c r="X12" s="8"/>
      <c r="Y12" s="8"/>
      <c r="Z12" s="8"/>
      <c r="AA12" s="8"/>
      <c r="AB12" s="8"/>
      <c r="AC12" s="8"/>
    </row>
    <row r="13" spans="1:29">
      <c r="X13" s="8"/>
      <c r="Y13" s="8"/>
      <c r="Z13" s="8"/>
      <c r="AA13" s="8"/>
      <c r="AB13" s="8"/>
      <c r="AC13" s="8"/>
    </row>
  </sheetData>
  <mergeCells count="4">
    <mergeCell ref="B4:G4"/>
    <mergeCell ref="I4:N4"/>
    <mergeCell ref="P4:U4"/>
    <mergeCell ref="W4:AB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U16"/>
  <sheetViews>
    <sheetView workbookViewId="0">
      <selection activeCell="A3" sqref="A3"/>
    </sheetView>
  </sheetViews>
  <sheetFormatPr defaultRowHeight="15"/>
  <cols>
    <col min="1" max="1" width="16" customWidth="1"/>
  </cols>
  <sheetData>
    <row r="3" spans="1:21">
      <c r="A3" s="1" t="s">
        <v>765</v>
      </c>
    </row>
    <row r="4" spans="1:21">
      <c r="A4" s="7"/>
      <c r="B4" s="172" t="s">
        <v>154</v>
      </c>
      <c r="C4" s="172"/>
      <c r="D4" s="172"/>
      <c r="E4" s="172"/>
      <c r="F4" s="172"/>
      <c r="G4" s="172" t="s">
        <v>155</v>
      </c>
      <c r="H4" s="172"/>
      <c r="I4" s="172"/>
      <c r="J4" s="172"/>
      <c r="K4" s="172"/>
      <c r="L4" s="172" t="s">
        <v>156</v>
      </c>
      <c r="M4" s="172"/>
      <c r="N4" s="172"/>
      <c r="O4" s="172"/>
      <c r="P4" s="172"/>
      <c r="Q4" s="172" t="s">
        <v>157</v>
      </c>
      <c r="R4" s="172"/>
      <c r="S4" s="172"/>
      <c r="T4" s="172"/>
      <c r="U4" s="172"/>
    </row>
    <row r="5" spans="1:21">
      <c r="A5" s="1" t="s">
        <v>423</v>
      </c>
      <c r="B5" s="7" t="s">
        <v>158</v>
      </c>
      <c r="C5" s="7" t="s">
        <v>159</v>
      </c>
      <c r="D5" s="7" t="s">
        <v>160</v>
      </c>
      <c r="E5" s="7" t="s">
        <v>161</v>
      </c>
      <c r="F5" s="7" t="s">
        <v>162</v>
      </c>
      <c r="G5" s="7" t="s">
        <v>158</v>
      </c>
      <c r="H5" s="7" t="s">
        <v>159</v>
      </c>
      <c r="I5" s="7" t="s">
        <v>160</v>
      </c>
      <c r="J5" s="7" t="s">
        <v>161</v>
      </c>
      <c r="K5" s="7" t="s">
        <v>162</v>
      </c>
      <c r="L5" s="7" t="s">
        <v>158</v>
      </c>
      <c r="M5" s="7" t="s">
        <v>159</v>
      </c>
      <c r="N5" s="7" t="s">
        <v>160</v>
      </c>
      <c r="O5" s="7" t="s">
        <v>161</v>
      </c>
      <c r="P5" s="7" t="s">
        <v>162</v>
      </c>
      <c r="Q5" s="7" t="s">
        <v>158</v>
      </c>
      <c r="R5" s="7" t="s">
        <v>159</v>
      </c>
      <c r="S5" s="7" t="s">
        <v>160</v>
      </c>
      <c r="T5" s="7" t="s">
        <v>161</v>
      </c>
      <c r="U5" s="7" t="s">
        <v>162</v>
      </c>
    </row>
    <row r="6" spans="1:21">
      <c r="A6" s="37">
        <v>0.5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1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</row>
    <row r="7" spans="1:21">
      <c r="A7" s="7">
        <v>1</v>
      </c>
      <c r="B7">
        <v>1</v>
      </c>
      <c r="C7">
        <v>1</v>
      </c>
      <c r="D7">
        <v>1</v>
      </c>
      <c r="E7">
        <v>2</v>
      </c>
      <c r="F7">
        <v>1</v>
      </c>
      <c r="G7">
        <v>2</v>
      </c>
      <c r="H7">
        <v>1</v>
      </c>
      <c r="I7">
        <v>1</v>
      </c>
      <c r="J7">
        <v>2</v>
      </c>
      <c r="K7">
        <v>1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</row>
    <row r="8" spans="1:21">
      <c r="A8" s="7">
        <v>1.5</v>
      </c>
      <c r="B8">
        <v>2</v>
      </c>
      <c r="C8">
        <v>2</v>
      </c>
      <c r="D8">
        <v>1</v>
      </c>
      <c r="E8">
        <v>2</v>
      </c>
      <c r="F8">
        <v>2</v>
      </c>
      <c r="G8">
        <v>2</v>
      </c>
      <c r="H8">
        <v>2</v>
      </c>
      <c r="I8">
        <v>2</v>
      </c>
      <c r="J8">
        <v>2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</row>
    <row r="9" spans="1:21">
      <c r="A9" s="7">
        <v>2</v>
      </c>
      <c r="B9">
        <v>2</v>
      </c>
      <c r="C9">
        <v>3</v>
      </c>
      <c r="D9">
        <v>2</v>
      </c>
      <c r="E9">
        <v>2</v>
      </c>
      <c r="F9">
        <v>2</v>
      </c>
      <c r="G9">
        <v>3</v>
      </c>
      <c r="H9">
        <v>2</v>
      </c>
      <c r="I9">
        <v>3</v>
      </c>
      <c r="J9">
        <v>2</v>
      </c>
      <c r="K9">
        <v>2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</row>
    <row r="10" spans="1:21">
      <c r="A10" s="7">
        <v>2.5</v>
      </c>
      <c r="B10">
        <v>3</v>
      </c>
      <c r="C10">
        <v>3</v>
      </c>
      <c r="D10">
        <v>3</v>
      </c>
      <c r="E10">
        <v>2</v>
      </c>
      <c r="F10">
        <v>3</v>
      </c>
      <c r="G10">
        <v>3</v>
      </c>
      <c r="H10">
        <v>3</v>
      </c>
      <c r="I10">
        <v>3</v>
      </c>
      <c r="J10">
        <v>2</v>
      </c>
      <c r="K10">
        <v>3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</row>
    <row r="11" spans="1:21">
      <c r="A11" s="7">
        <v>3</v>
      </c>
      <c r="B11">
        <v>4</v>
      </c>
      <c r="C11">
        <v>3</v>
      </c>
      <c r="D11">
        <v>3</v>
      </c>
      <c r="E11">
        <v>3</v>
      </c>
      <c r="F11">
        <v>3</v>
      </c>
      <c r="G11">
        <v>4</v>
      </c>
      <c r="H11">
        <v>3</v>
      </c>
      <c r="I11">
        <v>4</v>
      </c>
      <c r="J11">
        <v>2</v>
      </c>
      <c r="K11">
        <v>3</v>
      </c>
      <c r="L11">
        <v>1</v>
      </c>
      <c r="M11">
        <v>0</v>
      </c>
      <c r="N11">
        <v>1</v>
      </c>
      <c r="O11">
        <v>1</v>
      </c>
      <c r="P11">
        <v>1</v>
      </c>
      <c r="Q11">
        <v>1</v>
      </c>
      <c r="R11">
        <v>0</v>
      </c>
      <c r="S11">
        <v>0</v>
      </c>
      <c r="T11">
        <v>0</v>
      </c>
      <c r="U11">
        <v>1</v>
      </c>
    </row>
    <row r="12" spans="1:21">
      <c r="A12" s="7">
        <v>3.5</v>
      </c>
      <c r="B12">
        <v>4</v>
      </c>
      <c r="C12">
        <v>4</v>
      </c>
      <c r="D12">
        <v>3</v>
      </c>
      <c r="E12">
        <v>3</v>
      </c>
      <c r="F12">
        <v>3</v>
      </c>
      <c r="G12">
        <v>4</v>
      </c>
      <c r="H12">
        <v>3</v>
      </c>
      <c r="I12">
        <v>4</v>
      </c>
      <c r="J12">
        <v>3</v>
      </c>
      <c r="K12">
        <v>4</v>
      </c>
      <c r="L12">
        <v>1</v>
      </c>
      <c r="M12">
        <v>1</v>
      </c>
      <c r="N12">
        <v>1</v>
      </c>
      <c r="O12">
        <v>1</v>
      </c>
      <c r="P12">
        <v>2</v>
      </c>
      <c r="Q12">
        <v>1</v>
      </c>
      <c r="R12">
        <v>1</v>
      </c>
      <c r="S12">
        <v>1</v>
      </c>
      <c r="T12">
        <v>0</v>
      </c>
      <c r="U12">
        <v>2</v>
      </c>
    </row>
    <row r="13" spans="1:21">
      <c r="A13" s="7">
        <v>4</v>
      </c>
      <c r="B13">
        <v>4</v>
      </c>
      <c r="C13">
        <v>4</v>
      </c>
      <c r="D13">
        <v>4</v>
      </c>
      <c r="E13">
        <v>3</v>
      </c>
      <c r="F13">
        <v>3</v>
      </c>
      <c r="G13">
        <v>4</v>
      </c>
      <c r="H13">
        <v>4</v>
      </c>
      <c r="I13">
        <v>4</v>
      </c>
      <c r="J13">
        <v>3</v>
      </c>
      <c r="K13">
        <v>4</v>
      </c>
      <c r="L13">
        <v>3</v>
      </c>
      <c r="M13">
        <v>1</v>
      </c>
      <c r="N13">
        <v>2</v>
      </c>
      <c r="O13">
        <v>2</v>
      </c>
      <c r="P13">
        <v>2</v>
      </c>
      <c r="Q13">
        <v>2</v>
      </c>
      <c r="R13">
        <v>1</v>
      </c>
      <c r="S13">
        <v>1</v>
      </c>
      <c r="T13">
        <v>1</v>
      </c>
      <c r="U13">
        <v>2</v>
      </c>
    </row>
    <row r="14" spans="1:21">
      <c r="A14" s="7">
        <v>4.5</v>
      </c>
      <c r="B14">
        <v>4</v>
      </c>
      <c r="C14">
        <v>4</v>
      </c>
      <c r="D14">
        <v>4</v>
      </c>
      <c r="E14">
        <v>4</v>
      </c>
      <c r="F14">
        <v>3</v>
      </c>
      <c r="G14">
        <v>4</v>
      </c>
      <c r="H14">
        <v>4</v>
      </c>
      <c r="I14">
        <v>4</v>
      </c>
      <c r="J14">
        <v>3</v>
      </c>
      <c r="K14">
        <v>4</v>
      </c>
      <c r="L14">
        <v>3</v>
      </c>
      <c r="M14">
        <v>3</v>
      </c>
      <c r="N14">
        <v>2</v>
      </c>
      <c r="O14">
        <v>3</v>
      </c>
      <c r="P14">
        <v>2</v>
      </c>
      <c r="Q14">
        <v>2</v>
      </c>
      <c r="R14">
        <v>1</v>
      </c>
      <c r="S14">
        <v>1</v>
      </c>
      <c r="T14">
        <v>1</v>
      </c>
      <c r="U14">
        <v>2</v>
      </c>
    </row>
    <row r="15" spans="1:21">
      <c r="A15" s="7">
        <v>5</v>
      </c>
      <c r="B15">
        <v>4</v>
      </c>
      <c r="C15">
        <v>4</v>
      </c>
      <c r="D15">
        <v>4</v>
      </c>
      <c r="E15">
        <v>4</v>
      </c>
      <c r="F15">
        <v>3</v>
      </c>
      <c r="G15">
        <v>4</v>
      </c>
      <c r="H15">
        <v>4</v>
      </c>
      <c r="I15">
        <v>4</v>
      </c>
      <c r="J15">
        <v>3</v>
      </c>
      <c r="K15">
        <v>4</v>
      </c>
      <c r="L15">
        <v>3</v>
      </c>
      <c r="M15">
        <v>3</v>
      </c>
      <c r="N15">
        <v>3</v>
      </c>
      <c r="O15">
        <v>3</v>
      </c>
      <c r="P15">
        <v>2</v>
      </c>
      <c r="Q15">
        <v>2</v>
      </c>
      <c r="R15">
        <v>2</v>
      </c>
      <c r="S15">
        <v>2</v>
      </c>
      <c r="T15">
        <v>2</v>
      </c>
      <c r="U15">
        <v>3</v>
      </c>
    </row>
    <row r="16" spans="1:21">
      <c r="A16" s="7"/>
    </row>
  </sheetData>
  <mergeCells count="4">
    <mergeCell ref="B4:F4"/>
    <mergeCell ref="G4:K4"/>
    <mergeCell ref="L4:P4"/>
    <mergeCell ref="Q4:U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K158"/>
  <sheetViews>
    <sheetView zoomScale="75" zoomScaleNormal="75" workbookViewId="0">
      <selection activeCell="A2" sqref="A2"/>
    </sheetView>
  </sheetViews>
  <sheetFormatPr defaultRowHeight="15"/>
  <cols>
    <col min="6" max="6" width="13.5703125" customWidth="1"/>
    <col min="18" max="18" width="14.5703125" customWidth="1"/>
  </cols>
  <sheetData>
    <row r="2" spans="1:24">
      <c r="A2" s="1" t="s">
        <v>766</v>
      </c>
    </row>
    <row r="3" spans="1:24">
      <c r="A3" s="169" t="s">
        <v>82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M3" s="169"/>
      <c r="N3" s="171"/>
      <c r="O3" s="171"/>
      <c r="P3" s="171"/>
      <c r="Q3" s="171"/>
      <c r="R3" s="171"/>
      <c r="S3" s="171"/>
      <c r="T3" s="171"/>
      <c r="U3" s="171"/>
      <c r="V3" s="171"/>
      <c r="W3" s="171"/>
      <c r="X3" s="171"/>
    </row>
    <row r="5" spans="1:24" ht="15.75" thickBot="1">
      <c r="A5" s="27" t="s">
        <v>69</v>
      </c>
      <c r="B5" s="27"/>
      <c r="C5" s="27"/>
      <c r="D5" s="27"/>
      <c r="E5" s="27"/>
      <c r="F5" s="27" t="s">
        <v>70</v>
      </c>
      <c r="G5" s="27"/>
      <c r="H5" s="27"/>
      <c r="I5" s="27"/>
      <c r="J5" s="27"/>
      <c r="K5" s="27"/>
      <c r="L5" s="27"/>
    </row>
    <row r="6" spans="1:24" ht="90" thickBot="1">
      <c r="A6" s="28" t="s">
        <v>71</v>
      </c>
      <c r="B6" s="29" t="s">
        <v>72</v>
      </c>
      <c r="C6" s="27"/>
      <c r="D6" s="27"/>
      <c r="E6" s="27"/>
      <c r="F6" s="28" t="s">
        <v>73</v>
      </c>
      <c r="G6" s="29" t="s">
        <v>74</v>
      </c>
      <c r="H6" s="151" t="s">
        <v>75</v>
      </c>
      <c r="I6" s="27" t="s">
        <v>76</v>
      </c>
      <c r="J6" s="27"/>
      <c r="K6" s="27"/>
      <c r="L6" s="27"/>
    </row>
    <row r="7" spans="1:24" ht="15.75" thickBot="1">
      <c r="A7" s="30">
        <v>200</v>
      </c>
      <c r="B7" s="30">
        <v>1.9732499999999999</v>
      </c>
      <c r="C7" s="27"/>
      <c r="D7" s="27"/>
      <c r="E7" s="27"/>
      <c r="F7" s="30">
        <v>75</v>
      </c>
      <c r="G7" s="30">
        <f>F7*0.789*0.4</f>
        <v>23.67</v>
      </c>
      <c r="H7" s="152">
        <f>G7/60</f>
        <v>0.39450000000000002</v>
      </c>
      <c r="I7" s="27">
        <f>H7*12</f>
        <v>4.734</v>
      </c>
      <c r="J7" s="27"/>
      <c r="K7" s="27"/>
      <c r="L7" s="27"/>
    </row>
    <row r="8" spans="1:24" ht="15.75" thickBot="1">
      <c r="A8" s="30" t="s">
        <v>77</v>
      </c>
      <c r="B8" s="30">
        <v>2.9590000000000001</v>
      </c>
      <c r="C8" s="27"/>
      <c r="D8" s="27"/>
      <c r="E8" s="27"/>
      <c r="F8" s="30">
        <v>55</v>
      </c>
      <c r="G8" s="30">
        <f t="shared" ref="G8:G16" si="0">F8*0.789*0.4</f>
        <v>17.358000000000001</v>
      </c>
      <c r="H8" s="152">
        <f t="shared" ref="H8:H16" si="1">G8/60</f>
        <v>0.2893</v>
      </c>
      <c r="I8" s="27">
        <f t="shared" ref="I8:I16" si="2">H8*12</f>
        <v>3.4716</v>
      </c>
      <c r="J8" s="27"/>
      <c r="K8" s="27"/>
      <c r="L8" s="27"/>
    </row>
    <row r="9" spans="1:24" ht="15.75" thickBot="1">
      <c r="A9" s="30">
        <v>200</v>
      </c>
      <c r="B9" s="30">
        <v>1.9732499999999999</v>
      </c>
      <c r="C9" s="27"/>
      <c r="D9" s="27"/>
      <c r="E9" s="27"/>
      <c r="F9" s="30">
        <v>50</v>
      </c>
      <c r="G9" s="30">
        <f t="shared" si="0"/>
        <v>15.780000000000001</v>
      </c>
      <c r="H9" s="152">
        <f t="shared" si="1"/>
        <v>0.26300000000000001</v>
      </c>
      <c r="I9" s="27">
        <f t="shared" si="2"/>
        <v>3.1560000000000001</v>
      </c>
      <c r="J9" s="27"/>
      <c r="K9" s="27"/>
      <c r="L9" s="27"/>
    </row>
    <row r="10" spans="1:24" ht="15.75" thickBot="1">
      <c r="A10" s="30">
        <v>200</v>
      </c>
      <c r="B10" s="30">
        <v>1.9732499999999999</v>
      </c>
      <c r="C10" s="27"/>
      <c r="D10" s="27"/>
      <c r="E10" s="27"/>
      <c r="F10" s="30">
        <v>40</v>
      </c>
      <c r="G10" s="30">
        <f t="shared" si="0"/>
        <v>12.624000000000002</v>
      </c>
      <c r="H10" s="152">
        <f t="shared" si="1"/>
        <v>0.21040000000000003</v>
      </c>
      <c r="I10" s="27">
        <f t="shared" si="2"/>
        <v>2.5248000000000004</v>
      </c>
      <c r="J10" s="27"/>
      <c r="K10" s="27"/>
      <c r="L10" s="27"/>
    </row>
    <row r="11" spans="1:24" ht="15.75" thickBot="1">
      <c r="A11" s="30">
        <v>500</v>
      </c>
      <c r="B11" s="30">
        <v>4.9329999999999998</v>
      </c>
      <c r="C11" s="27"/>
      <c r="D11" s="27"/>
      <c r="E11" s="27"/>
      <c r="F11" s="30">
        <v>50</v>
      </c>
      <c r="G11" s="30">
        <f t="shared" si="0"/>
        <v>15.780000000000001</v>
      </c>
      <c r="H11" s="152">
        <f t="shared" si="1"/>
        <v>0.26300000000000001</v>
      </c>
      <c r="I11" s="27">
        <f t="shared" si="2"/>
        <v>3.1560000000000001</v>
      </c>
      <c r="J11" s="27"/>
      <c r="K11" s="27"/>
      <c r="L11" s="27"/>
    </row>
    <row r="12" spans="1:24" ht="15.75" thickBot="1">
      <c r="A12" s="30">
        <v>200</v>
      </c>
      <c r="B12" s="30">
        <v>1.9732499999999999</v>
      </c>
      <c r="C12" s="27"/>
      <c r="D12" s="27"/>
      <c r="E12" s="27"/>
      <c r="F12" s="30">
        <v>50</v>
      </c>
      <c r="G12" s="30">
        <f t="shared" si="0"/>
        <v>15.780000000000001</v>
      </c>
      <c r="H12" s="152">
        <f t="shared" si="1"/>
        <v>0.26300000000000001</v>
      </c>
      <c r="I12" s="27">
        <f t="shared" si="2"/>
        <v>3.1560000000000001</v>
      </c>
      <c r="J12" s="27"/>
      <c r="K12" s="27"/>
      <c r="L12" s="27"/>
    </row>
    <row r="13" spans="1:24" ht="15.75" thickBot="1">
      <c r="A13" s="30">
        <v>15</v>
      </c>
      <c r="B13" s="30">
        <v>0.1479</v>
      </c>
      <c r="C13" s="27"/>
      <c r="D13" s="27"/>
      <c r="E13" s="27"/>
      <c r="F13" s="30">
        <v>50</v>
      </c>
      <c r="G13" s="30">
        <f t="shared" si="0"/>
        <v>15.780000000000001</v>
      </c>
      <c r="H13" s="152">
        <f t="shared" si="1"/>
        <v>0.26300000000000001</v>
      </c>
      <c r="I13" s="27">
        <f t="shared" si="2"/>
        <v>3.1560000000000001</v>
      </c>
      <c r="J13" s="27"/>
      <c r="K13" s="27"/>
      <c r="L13" s="27"/>
    </row>
    <row r="14" spans="1:24" ht="15.75" thickBot="1">
      <c r="A14" s="30">
        <v>300</v>
      </c>
      <c r="B14" s="30">
        <v>2.9590000000000001</v>
      </c>
      <c r="C14" s="27"/>
      <c r="D14" s="27"/>
      <c r="E14" s="27"/>
      <c r="F14" s="30">
        <v>25</v>
      </c>
      <c r="G14" s="30">
        <f t="shared" si="0"/>
        <v>7.8900000000000006</v>
      </c>
      <c r="H14" s="152">
        <f t="shared" si="1"/>
        <v>0.13150000000000001</v>
      </c>
      <c r="I14" s="27">
        <f t="shared" si="2"/>
        <v>1.5780000000000001</v>
      </c>
      <c r="J14" s="27"/>
      <c r="K14" s="27"/>
      <c r="L14" s="27"/>
    </row>
    <row r="15" spans="1:24" ht="15.75" thickBot="1">
      <c r="A15" s="30">
        <v>500</v>
      </c>
      <c r="B15" s="30">
        <v>4.9329999999999998</v>
      </c>
      <c r="C15" s="27"/>
      <c r="D15" s="27"/>
      <c r="E15" s="27"/>
      <c r="F15" s="30">
        <v>10</v>
      </c>
      <c r="G15" s="30">
        <f t="shared" si="0"/>
        <v>3.1560000000000006</v>
      </c>
      <c r="H15" s="152">
        <f t="shared" si="1"/>
        <v>5.2600000000000008E-2</v>
      </c>
      <c r="I15" s="27">
        <f t="shared" si="2"/>
        <v>0.63120000000000009</v>
      </c>
      <c r="J15" s="27"/>
      <c r="K15" s="27"/>
      <c r="L15" s="27"/>
    </row>
    <row r="16" spans="1:24" ht="15.75" thickBot="1">
      <c r="A16" s="30">
        <v>400</v>
      </c>
      <c r="B16" s="30">
        <v>3.9460000000000002</v>
      </c>
      <c r="C16" s="27"/>
      <c r="D16" s="27"/>
      <c r="E16" s="27"/>
      <c r="F16" s="30">
        <v>10</v>
      </c>
      <c r="G16" s="30">
        <f t="shared" si="0"/>
        <v>3.1560000000000006</v>
      </c>
      <c r="H16" s="152">
        <f t="shared" si="1"/>
        <v>5.2600000000000008E-2</v>
      </c>
      <c r="I16" s="27">
        <f t="shared" si="2"/>
        <v>0.63120000000000009</v>
      </c>
      <c r="J16" s="27"/>
      <c r="K16" s="27"/>
      <c r="L16" s="27"/>
    </row>
    <row r="17" spans="1:12">
      <c r="A17" s="31"/>
      <c r="B17" s="31"/>
      <c r="C17" s="27"/>
      <c r="D17" s="27"/>
      <c r="E17" s="27" t="s">
        <v>78</v>
      </c>
      <c r="F17" s="31"/>
      <c r="G17" s="31"/>
      <c r="H17" s="152">
        <f>AVERAGE(H7:H16)</f>
        <v>0.21828999999999996</v>
      </c>
      <c r="I17" s="27"/>
      <c r="J17" s="27"/>
      <c r="K17" s="27"/>
      <c r="L17" s="27"/>
    </row>
    <row r="18" spans="1:12">
      <c r="A18" s="27"/>
      <c r="B18" s="27"/>
      <c r="C18" s="27"/>
      <c r="D18" s="27"/>
      <c r="E18" s="27"/>
      <c r="F18" s="27"/>
      <c r="G18" s="27"/>
      <c r="H18" s="152"/>
      <c r="I18" s="27"/>
      <c r="J18" s="27"/>
      <c r="K18" s="27"/>
      <c r="L18" s="27"/>
    </row>
    <row r="19" spans="1:12" ht="15.75" thickBot="1">
      <c r="A19" s="27" t="s">
        <v>79</v>
      </c>
      <c r="B19" s="27"/>
      <c r="C19" s="27"/>
      <c r="D19" s="27"/>
      <c r="E19" s="27"/>
      <c r="F19" s="27" t="s">
        <v>79</v>
      </c>
      <c r="G19" s="27"/>
      <c r="H19" s="152"/>
      <c r="I19" s="27"/>
      <c r="J19" s="27"/>
      <c r="K19" s="27"/>
      <c r="L19" s="27"/>
    </row>
    <row r="20" spans="1:12" ht="90" thickBot="1">
      <c r="A20" s="28" t="s">
        <v>71</v>
      </c>
      <c r="B20" s="29" t="s">
        <v>72</v>
      </c>
      <c r="C20" s="27"/>
      <c r="D20" s="27"/>
      <c r="E20" s="27"/>
      <c r="F20" s="28" t="s">
        <v>73</v>
      </c>
      <c r="G20" s="29" t="s">
        <v>74</v>
      </c>
      <c r="H20" s="151" t="s">
        <v>75</v>
      </c>
      <c r="I20" s="27" t="s">
        <v>76</v>
      </c>
      <c r="J20" s="27"/>
      <c r="K20" s="27"/>
      <c r="L20" s="27"/>
    </row>
    <row r="21" spans="1:12" ht="15.75" thickBot="1">
      <c r="A21" s="30">
        <v>200</v>
      </c>
      <c r="B21" s="30">
        <v>1.9732499999999999</v>
      </c>
      <c r="C21" s="27"/>
      <c r="D21" s="27"/>
      <c r="E21" s="27"/>
      <c r="F21" s="30">
        <v>100</v>
      </c>
      <c r="G21" s="27">
        <f>F21*0.789*0.4</f>
        <v>31.560000000000002</v>
      </c>
      <c r="H21" s="153">
        <f>G21/60</f>
        <v>0.52600000000000002</v>
      </c>
      <c r="I21" s="27">
        <f>H21*12</f>
        <v>6.3120000000000003</v>
      </c>
      <c r="J21" s="27"/>
      <c r="K21" s="27"/>
      <c r="L21" s="27"/>
    </row>
    <row r="22" spans="1:12" ht="15.75" thickBot="1">
      <c r="A22" s="30" t="s">
        <v>77</v>
      </c>
      <c r="B22" s="30">
        <v>2.9590000000000001</v>
      </c>
      <c r="C22" s="27"/>
      <c r="D22" s="27"/>
      <c r="E22" s="27"/>
      <c r="F22" s="30">
        <v>100</v>
      </c>
      <c r="G22" s="27">
        <f t="shared" ref="G22:G30" si="3">F22*0.789*0.4</f>
        <v>31.560000000000002</v>
      </c>
      <c r="H22" s="153">
        <f t="shared" ref="H22:H30" si="4">G22/60</f>
        <v>0.52600000000000002</v>
      </c>
      <c r="I22" s="27">
        <f t="shared" ref="I22:I30" si="5">H22*12</f>
        <v>6.3120000000000003</v>
      </c>
      <c r="J22" s="27"/>
      <c r="K22" s="27"/>
      <c r="L22" s="27"/>
    </row>
    <row r="23" spans="1:12" ht="15.75" thickBot="1">
      <c r="A23" s="30">
        <v>200</v>
      </c>
      <c r="B23" s="30">
        <v>1.9732499999999999</v>
      </c>
      <c r="C23" s="27"/>
      <c r="D23" s="27"/>
      <c r="E23" s="27"/>
      <c r="F23" s="30">
        <v>70</v>
      </c>
      <c r="G23" s="27">
        <f t="shared" si="3"/>
        <v>22.092000000000002</v>
      </c>
      <c r="H23" s="153">
        <f t="shared" si="4"/>
        <v>0.36820000000000003</v>
      </c>
      <c r="I23" s="27">
        <f t="shared" si="5"/>
        <v>4.4184000000000001</v>
      </c>
      <c r="J23" s="27"/>
      <c r="K23" s="27"/>
      <c r="L23" s="27"/>
    </row>
    <row r="24" spans="1:12" ht="15.75" thickBot="1">
      <c r="A24" s="30">
        <v>200</v>
      </c>
      <c r="B24" s="30">
        <v>1.9732499999999999</v>
      </c>
      <c r="C24" s="27"/>
      <c r="D24" s="27"/>
      <c r="E24" s="27"/>
      <c r="F24" s="30">
        <v>70</v>
      </c>
      <c r="G24" s="27">
        <f t="shared" si="3"/>
        <v>22.092000000000002</v>
      </c>
      <c r="H24" s="153">
        <f t="shared" si="4"/>
        <v>0.36820000000000003</v>
      </c>
      <c r="I24" s="27">
        <f t="shared" si="5"/>
        <v>4.4184000000000001</v>
      </c>
      <c r="J24" s="27"/>
      <c r="K24" s="27"/>
      <c r="L24" s="27"/>
    </row>
    <row r="25" spans="1:12" ht="15.75" thickBot="1">
      <c r="A25" s="30">
        <v>500</v>
      </c>
      <c r="B25" s="30">
        <v>4.9329999999999998</v>
      </c>
      <c r="C25" s="27"/>
      <c r="D25" s="27"/>
      <c r="E25" s="27"/>
      <c r="F25" s="30">
        <v>60</v>
      </c>
      <c r="G25" s="27">
        <f t="shared" si="3"/>
        <v>18.936000000000003</v>
      </c>
      <c r="H25" s="153">
        <f t="shared" si="4"/>
        <v>0.31560000000000005</v>
      </c>
      <c r="I25" s="27">
        <f t="shared" si="5"/>
        <v>3.7872000000000003</v>
      </c>
      <c r="J25" s="27"/>
      <c r="K25" s="27"/>
      <c r="L25" s="27"/>
    </row>
    <row r="26" spans="1:12" ht="15.75" thickBot="1">
      <c r="A26" s="30">
        <v>200</v>
      </c>
      <c r="B26" s="30">
        <v>1.9732499999999999</v>
      </c>
      <c r="C26" s="27"/>
      <c r="D26" s="27"/>
      <c r="E26" s="27"/>
      <c r="F26" s="30">
        <v>100</v>
      </c>
      <c r="G26" s="27">
        <f t="shared" si="3"/>
        <v>31.560000000000002</v>
      </c>
      <c r="H26" s="153">
        <f t="shared" si="4"/>
        <v>0.52600000000000002</v>
      </c>
      <c r="I26" s="27">
        <f t="shared" si="5"/>
        <v>6.3120000000000003</v>
      </c>
      <c r="J26" s="27"/>
      <c r="K26" s="27"/>
      <c r="L26" s="27"/>
    </row>
    <row r="27" spans="1:12" ht="15.75" thickBot="1">
      <c r="A27" s="30">
        <v>15</v>
      </c>
      <c r="B27" s="30">
        <v>0.1479</v>
      </c>
      <c r="C27" s="27"/>
      <c r="D27" s="27"/>
      <c r="E27" s="27"/>
      <c r="F27" s="30">
        <v>60</v>
      </c>
      <c r="G27" s="27">
        <f t="shared" si="3"/>
        <v>18.936000000000003</v>
      </c>
      <c r="H27" s="153">
        <f t="shared" si="4"/>
        <v>0.31560000000000005</v>
      </c>
      <c r="I27" s="27">
        <f t="shared" si="5"/>
        <v>3.7872000000000003</v>
      </c>
      <c r="J27" s="27"/>
      <c r="K27" s="27"/>
      <c r="L27" s="27"/>
    </row>
    <row r="28" spans="1:12" ht="15.75" thickBot="1">
      <c r="A28" s="30">
        <v>300</v>
      </c>
      <c r="B28" s="30">
        <v>2.9590000000000001</v>
      </c>
      <c r="C28" s="27"/>
      <c r="D28" s="27"/>
      <c r="E28" s="27"/>
      <c r="F28" s="30">
        <v>50</v>
      </c>
      <c r="G28" s="27">
        <f t="shared" si="3"/>
        <v>15.780000000000001</v>
      </c>
      <c r="H28" s="153">
        <f t="shared" si="4"/>
        <v>0.26300000000000001</v>
      </c>
      <c r="I28" s="27">
        <f t="shared" si="5"/>
        <v>3.1560000000000001</v>
      </c>
      <c r="J28" s="27"/>
      <c r="K28" s="27"/>
      <c r="L28" s="27"/>
    </row>
    <row r="29" spans="1:12" ht="15.75" thickBot="1">
      <c r="A29" s="30">
        <v>500</v>
      </c>
      <c r="B29" s="30">
        <v>4.9329999999999998</v>
      </c>
      <c r="C29" s="27"/>
      <c r="D29" s="27"/>
      <c r="E29" s="27"/>
      <c r="F29" s="30">
        <v>100</v>
      </c>
      <c r="G29" s="27">
        <f t="shared" si="3"/>
        <v>31.560000000000002</v>
      </c>
      <c r="H29" s="153">
        <f t="shared" si="4"/>
        <v>0.52600000000000002</v>
      </c>
      <c r="I29" s="27">
        <f t="shared" si="5"/>
        <v>6.3120000000000003</v>
      </c>
      <c r="J29" s="27"/>
      <c r="K29" s="27"/>
      <c r="L29" s="27"/>
    </row>
    <row r="30" spans="1:12" ht="15.75" thickBot="1">
      <c r="A30" s="30">
        <v>400</v>
      </c>
      <c r="B30" s="30">
        <v>3.9460000000000002</v>
      </c>
      <c r="C30" s="27"/>
      <c r="D30" s="27"/>
      <c r="E30" s="27"/>
      <c r="F30" s="30">
        <v>100</v>
      </c>
      <c r="G30" s="27">
        <f t="shared" si="3"/>
        <v>31.560000000000002</v>
      </c>
      <c r="H30" s="153">
        <f t="shared" si="4"/>
        <v>0.52600000000000002</v>
      </c>
      <c r="I30" s="27">
        <f t="shared" si="5"/>
        <v>6.3120000000000003</v>
      </c>
      <c r="J30" s="27"/>
      <c r="K30" s="27"/>
      <c r="L30" s="27"/>
    </row>
    <row r="31" spans="1:12">
      <c r="A31" s="31"/>
      <c r="B31" s="31"/>
      <c r="C31" s="27"/>
      <c r="D31" s="27"/>
      <c r="E31" s="27" t="s">
        <v>78</v>
      </c>
      <c r="F31" s="31"/>
      <c r="G31" s="31"/>
      <c r="H31" s="152">
        <f>AVERAGE(H21:H30)</f>
        <v>0.42605999999999994</v>
      </c>
      <c r="I31" s="27"/>
      <c r="J31" s="27"/>
      <c r="K31" s="27"/>
      <c r="L31" s="27"/>
    </row>
    <row r="32" spans="1:12">
      <c r="A32" s="31"/>
      <c r="B32" s="31"/>
      <c r="C32" s="27"/>
      <c r="D32" s="27"/>
      <c r="E32" s="27"/>
      <c r="F32" s="31"/>
      <c r="G32" s="31"/>
      <c r="H32" s="152"/>
      <c r="I32" s="27"/>
      <c r="J32" s="27"/>
      <c r="K32" s="27"/>
      <c r="L32" s="27"/>
    </row>
    <row r="33" spans="1:12">
      <c r="A33" s="31"/>
      <c r="B33" s="31"/>
      <c r="C33" s="27"/>
      <c r="D33" s="27"/>
      <c r="E33" s="27"/>
      <c r="F33" s="31"/>
      <c r="G33" s="31"/>
      <c r="H33" s="152"/>
      <c r="I33" s="27"/>
      <c r="J33" s="27"/>
      <c r="K33" s="27"/>
      <c r="L33" s="27"/>
    </row>
    <row r="34" spans="1:12">
      <c r="A34" s="27"/>
      <c r="B34" s="27"/>
      <c r="C34" s="27"/>
      <c r="D34" s="27"/>
      <c r="E34" s="27"/>
      <c r="F34" s="27"/>
      <c r="G34" s="27"/>
      <c r="H34" s="152"/>
      <c r="I34" s="27"/>
      <c r="J34" s="27"/>
      <c r="K34" s="27"/>
      <c r="L34" s="27"/>
    </row>
    <row r="35" spans="1:12" ht="15.75" thickBot="1">
      <c r="A35" s="27" t="s">
        <v>80</v>
      </c>
      <c r="B35" s="27"/>
      <c r="C35" s="27"/>
      <c r="D35" s="27"/>
      <c r="E35" s="27"/>
      <c r="F35" s="27" t="s">
        <v>80</v>
      </c>
      <c r="G35" s="27"/>
      <c r="H35" s="152"/>
      <c r="I35" s="27"/>
      <c r="J35" s="27"/>
      <c r="K35" s="27"/>
      <c r="L35" s="27"/>
    </row>
    <row r="36" spans="1:12" ht="90" thickBot="1">
      <c r="A36" s="28" t="s">
        <v>71</v>
      </c>
      <c r="B36" s="29" t="s">
        <v>72</v>
      </c>
      <c r="C36" s="27"/>
      <c r="D36" s="27"/>
      <c r="E36" s="27"/>
      <c r="F36" s="28" t="s">
        <v>73</v>
      </c>
      <c r="G36" s="29" t="s">
        <v>74</v>
      </c>
      <c r="H36" s="151" t="s">
        <v>75</v>
      </c>
      <c r="I36" s="27" t="s">
        <v>81</v>
      </c>
      <c r="J36" s="27"/>
      <c r="K36" s="27"/>
      <c r="L36" s="27"/>
    </row>
    <row r="37" spans="1:12" ht="15.75" thickBot="1">
      <c r="A37" s="30">
        <v>200</v>
      </c>
      <c r="B37" s="30">
        <v>1.9732499999999999</v>
      </c>
      <c r="C37" s="27"/>
      <c r="D37" s="27"/>
      <c r="E37" s="27"/>
      <c r="F37" s="30">
        <v>200</v>
      </c>
      <c r="G37" s="27">
        <f>F37*0.789*0.4</f>
        <v>63.120000000000005</v>
      </c>
      <c r="H37" s="153">
        <f>G37/60</f>
        <v>1.052</v>
      </c>
      <c r="I37" s="27">
        <f>H37*12</f>
        <v>12.624000000000001</v>
      </c>
      <c r="J37" s="27"/>
      <c r="K37" s="27"/>
      <c r="L37" s="27"/>
    </row>
    <row r="38" spans="1:12" ht="15.75" thickBot="1">
      <c r="A38" s="30" t="s">
        <v>77</v>
      </c>
      <c r="B38" s="30">
        <v>2.9590000000000001</v>
      </c>
      <c r="C38" s="27"/>
      <c r="D38" s="27"/>
      <c r="E38" s="27"/>
      <c r="F38" s="30">
        <v>400</v>
      </c>
      <c r="G38" s="27">
        <f>F38*0.789*0.4</f>
        <v>126.24000000000001</v>
      </c>
      <c r="H38" s="153">
        <f t="shared" ref="H38:H46" si="6">G38/60</f>
        <v>2.1040000000000001</v>
      </c>
      <c r="I38" s="27">
        <f t="shared" ref="I38:I46" si="7">H38*12</f>
        <v>25.248000000000001</v>
      </c>
      <c r="J38" s="27"/>
      <c r="K38" s="27"/>
      <c r="L38" s="27"/>
    </row>
    <row r="39" spans="1:12" ht="15.75" thickBot="1">
      <c r="A39" s="30">
        <v>200</v>
      </c>
      <c r="B39" s="30">
        <v>1.9732499999999999</v>
      </c>
      <c r="C39" s="27"/>
      <c r="D39" s="27"/>
      <c r="E39" s="27"/>
      <c r="F39" s="30">
        <v>200</v>
      </c>
      <c r="G39" s="27">
        <f t="shared" ref="G39:G46" si="8">F39*0.789*0.4</f>
        <v>63.120000000000005</v>
      </c>
      <c r="H39" s="153">
        <f t="shared" si="6"/>
        <v>1.052</v>
      </c>
      <c r="I39" s="27">
        <f t="shared" si="7"/>
        <v>12.624000000000001</v>
      </c>
      <c r="J39" s="27"/>
      <c r="K39" s="27"/>
      <c r="L39" s="27"/>
    </row>
    <row r="40" spans="1:12" ht="15.75" thickBot="1">
      <c r="A40" s="30">
        <v>200</v>
      </c>
      <c r="B40" s="30">
        <v>1.9732499999999999</v>
      </c>
      <c r="C40" s="27"/>
      <c r="D40" s="27"/>
      <c r="E40" s="27"/>
      <c r="F40" s="30">
        <v>200</v>
      </c>
      <c r="G40" s="27">
        <f t="shared" si="8"/>
        <v>63.120000000000005</v>
      </c>
      <c r="H40" s="153">
        <f t="shared" si="6"/>
        <v>1.052</v>
      </c>
      <c r="I40" s="27">
        <f t="shared" si="7"/>
        <v>12.624000000000001</v>
      </c>
      <c r="J40" s="27"/>
      <c r="K40" s="27"/>
      <c r="L40" s="27"/>
    </row>
    <row r="41" spans="1:12" ht="15.75" thickBot="1">
      <c r="A41" s="30">
        <v>500</v>
      </c>
      <c r="B41" s="30">
        <v>4.9329999999999998</v>
      </c>
      <c r="C41" s="27"/>
      <c r="D41" s="27"/>
      <c r="E41" s="27"/>
      <c r="F41" s="30">
        <v>400</v>
      </c>
      <c r="G41" s="27">
        <f t="shared" si="8"/>
        <v>126.24000000000001</v>
      </c>
      <c r="H41" s="153">
        <f t="shared" si="6"/>
        <v>2.1040000000000001</v>
      </c>
      <c r="I41" s="27">
        <f t="shared" si="7"/>
        <v>25.248000000000001</v>
      </c>
      <c r="J41" s="27"/>
      <c r="K41" s="27"/>
      <c r="L41" s="27"/>
    </row>
    <row r="42" spans="1:12" ht="15.75" thickBot="1">
      <c r="A42" s="30">
        <v>200</v>
      </c>
      <c r="B42" s="30">
        <v>1.9732499999999999</v>
      </c>
      <c r="C42" s="27"/>
      <c r="D42" s="27"/>
      <c r="E42" s="27"/>
      <c r="F42" s="30">
        <v>200</v>
      </c>
      <c r="G42" s="27">
        <f t="shared" si="8"/>
        <v>63.120000000000005</v>
      </c>
      <c r="H42" s="153">
        <f t="shared" si="6"/>
        <v>1.052</v>
      </c>
      <c r="I42" s="27">
        <f t="shared" si="7"/>
        <v>12.624000000000001</v>
      </c>
      <c r="J42" s="27"/>
      <c r="K42" s="27"/>
      <c r="L42" s="27"/>
    </row>
    <row r="43" spans="1:12" ht="15.75" thickBot="1">
      <c r="A43" s="30">
        <v>15</v>
      </c>
      <c r="B43" s="30">
        <v>0.1479</v>
      </c>
      <c r="C43" s="27"/>
      <c r="D43" s="27"/>
      <c r="E43" s="27"/>
      <c r="F43" s="30">
        <v>200</v>
      </c>
      <c r="G43" s="27">
        <f t="shared" si="8"/>
        <v>63.120000000000005</v>
      </c>
      <c r="H43" s="153">
        <f t="shared" si="6"/>
        <v>1.052</v>
      </c>
      <c r="I43" s="27">
        <f t="shared" si="7"/>
        <v>12.624000000000001</v>
      </c>
      <c r="J43" s="27"/>
      <c r="K43" s="27"/>
      <c r="L43" s="27"/>
    </row>
    <row r="44" spans="1:12" ht="15.75" thickBot="1">
      <c r="A44" s="30">
        <v>300</v>
      </c>
      <c r="B44" s="30">
        <v>2.9590000000000001</v>
      </c>
      <c r="C44" s="27"/>
      <c r="D44" s="27"/>
      <c r="E44" s="27"/>
      <c r="F44" s="30">
        <v>300</v>
      </c>
      <c r="G44" s="27">
        <f t="shared" si="8"/>
        <v>94.68</v>
      </c>
      <c r="H44" s="153">
        <f t="shared" si="6"/>
        <v>1.5780000000000001</v>
      </c>
      <c r="I44" s="27">
        <f t="shared" si="7"/>
        <v>18.936</v>
      </c>
      <c r="J44" s="27"/>
      <c r="K44" s="27"/>
      <c r="L44" s="27"/>
    </row>
    <row r="45" spans="1:12" ht="15.75" thickBot="1">
      <c r="A45" s="30">
        <v>500</v>
      </c>
      <c r="B45" s="30">
        <v>4.9329999999999998</v>
      </c>
      <c r="C45" s="27"/>
      <c r="D45" s="27"/>
      <c r="E45" s="27"/>
      <c r="F45" s="30">
        <v>500</v>
      </c>
      <c r="G45" s="27">
        <f t="shared" si="8"/>
        <v>157.80000000000001</v>
      </c>
      <c r="H45" s="153">
        <f t="shared" si="6"/>
        <v>2.6300000000000003</v>
      </c>
      <c r="I45" s="27">
        <f t="shared" si="7"/>
        <v>31.560000000000002</v>
      </c>
      <c r="J45" s="27"/>
      <c r="K45" s="27"/>
      <c r="L45" s="27"/>
    </row>
    <row r="46" spans="1:12" ht="15.75" thickBot="1">
      <c r="A46" s="30">
        <v>400</v>
      </c>
      <c r="B46" s="30">
        <v>3.9460000000000002</v>
      </c>
      <c r="C46" s="27"/>
      <c r="D46" s="27"/>
      <c r="E46" s="27"/>
      <c r="F46" s="30">
        <v>400</v>
      </c>
      <c r="G46" s="27">
        <f t="shared" si="8"/>
        <v>126.24000000000001</v>
      </c>
      <c r="H46" s="153">
        <f t="shared" si="6"/>
        <v>2.1040000000000001</v>
      </c>
      <c r="I46" s="27">
        <f t="shared" si="7"/>
        <v>25.248000000000001</v>
      </c>
      <c r="J46" s="27"/>
      <c r="K46" s="27"/>
      <c r="L46" s="27"/>
    </row>
    <row r="47" spans="1:12">
      <c r="A47" s="27"/>
      <c r="B47" s="27"/>
      <c r="C47" s="27"/>
      <c r="D47" s="27"/>
      <c r="E47" s="27" t="s">
        <v>78</v>
      </c>
      <c r="F47" s="27"/>
      <c r="G47" s="27"/>
      <c r="H47" s="152">
        <f>AVERAGE(H39:H46,H37)</f>
        <v>1.5195555555555553</v>
      </c>
      <c r="I47" s="27"/>
      <c r="J47" s="27"/>
      <c r="K47" s="27"/>
      <c r="L47" s="27"/>
    </row>
    <row r="48" spans="1:12">
      <c r="A48" s="27"/>
      <c r="B48" s="27"/>
      <c r="C48" s="27"/>
      <c r="D48" s="27"/>
      <c r="E48" s="27"/>
      <c r="F48" s="27"/>
      <c r="G48" s="27"/>
      <c r="H48" s="152">
        <f>STDEV(H37:H46)</f>
        <v>0.60737248318748649</v>
      </c>
      <c r="I48" s="27"/>
      <c r="J48" s="27"/>
      <c r="K48" s="27"/>
      <c r="L48" s="27"/>
    </row>
    <row r="49" spans="1:32">
      <c r="A49" s="27"/>
      <c r="B49" s="27"/>
      <c r="C49" s="27"/>
      <c r="D49" s="27"/>
      <c r="E49" s="27"/>
      <c r="F49" s="27"/>
      <c r="G49" s="27"/>
      <c r="H49" s="152"/>
      <c r="I49" s="27"/>
      <c r="J49" s="27"/>
      <c r="K49" s="27"/>
      <c r="L49" s="27"/>
    </row>
    <row r="50" spans="1:32">
      <c r="A50" s="27"/>
      <c r="B50" s="27"/>
      <c r="C50" s="27"/>
      <c r="D50" s="27"/>
      <c r="E50" s="27"/>
      <c r="F50" s="27"/>
      <c r="G50" s="27"/>
      <c r="H50" s="32"/>
      <c r="I50" s="27"/>
      <c r="J50" s="27"/>
      <c r="K50" s="27"/>
      <c r="L50" s="27"/>
    </row>
    <row r="60" spans="1:32">
      <c r="AF60" s="12"/>
    </row>
    <row r="62" spans="1:32">
      <c r="D62" t="s">
        <v>84</v>
      </c>
    </row>
    <row r="64" spans="1:32">
      <c r="D64" s="10" t="s">
        <v>86</v>
      </c>
    </row>
    <row r="65" spans="4:36">
      <c r="D65" t="s">
        <v>11</v>
      </c>
      <c r="F65">
        <v>1</v>
      </c>
      <c r="G65">
        <v>2</v>
      </c>
      <c r="H65">
        <v>3</v>
      </c>
      <c r="I65">
        <v>4</v>
      </c>
      <c r="J65">
        <v>5</v>
      </c>
      <c r="K65">
        <v>6</v>
      </c>
      <c r="L65">
        <v>7</v>
      </c>
      <c r="M65">
        <v>8</v>
      </c>
      <c r="N65">
        <v>9</v>
      </c>
      <c r="O65">
        <v>10</v>
      </c>
      <c r="P65">
        <v>11</v>
      </c>
      <c r="R65" t="s">
        <v>12</v>
      </c>
      <c r="S65">
        <v>12</v>
      </c>
    </row>
    <row r="66" spans="4:36">
      <c r="D66" t="s">
        <v>13</v>
      </c>
      <c r="F66" s="11">
        <v>0.2883</v>
      </c>
      <c r="G66" s="11">
        <v>4.6193</v>
      </c>
      <c r="H66" s="11">
        <v>4.9183000000000003</v>
      </c>
      <c r="I66" s="11">
        <v>4.8224</v>
      </c>
      <c r="J66" s="11">
        <v>4.7847999999999997</v>
      </c>
      <c r="L66" t="s">
        <v>14</v>
      </c>
      <c r="M66" t="s">
        <v>87</v>
      </c>
      <c r="N66" t="s">
        <v>88</v>
      </c>
      <c r="O66" t="s">
        <v>89</v>
      </c>
      <c r="P66" t="s">
        <v>90</v>
      </c>
      <c r="S66">
        <f t="shared" ref="S66:W73" si="9">(F66-0.1875)/24.579</f>
        <v>4.1010618820944708E-3</v>
      </c>
      <c r="T66">
        <f t="shared" si="9"/>
        <v>0.18030839334391147</v>
      </c>
      <c r="U66">
        <f t="shared" si="9"/>
        <v>0.19247324952194964</v>
      </c>
      <c r="V66">
        <f t="shared" si="9"/>
        <v>0.18857154481467919</v>
      </c>
      <c r="W66">
        <f t="shared" si="9"/>
        <v>0.18704178363643759</v>
      </c>
    </row>
    <row r="67" spans="4:36">
      <c r="D67" t="s">
        <v>19</v>
      </c>
      <c r="E67">
        <v>0.1</v>
      </c>
      <c r="F67" s="11">
        <v>2.6545999999999998</v>
      </c>
      <c r="G67" s="11">
        <v>4.8314000000000004</v>
      </c>
      <c r="H67" s="11">
        <v>4.8841000000000001</v>
      </c>
      <c r="I67" s="11">
        <v>4.8455000000000004</v>
      </c>
      <c r="J67" s="11">
        <v>4.7811000000000003</v>
      </c>
      <c r="L67" s="11">
        <v>0.1</v>
      </c>
      <c r="M67" t="s">
        <v>91</v>
      </c>
      <c r="N67" t="s">
        <v>92</v>
      </c>
      <c r="O67" t="s">
        <v>89</v>
      </c>
      <c r="P67" t="s">
        <v>90</v>
      </c>
      <c r="S67">
        <f t="shared" si="9"/>
        <v>0.10037430326701655</v>
      </c>
      <c r="T67">
        <f t="shared" si="9"/>
        <v>0.18893771105415194</v>
      </c>
      <c r="U67">
        <f t="shared" si="9"/>
        <v>0.1910818178119533</v>
      </c>
      <c r="V67">
        <f t="shared" si="9"/>
        <v>0.18951137149599254</v>
      </c>
      <c r="W67">
        <f t="shared" si="9"/>
        <v>0.18689124862687662</v>
      </c>
    </row>
    <row r="68" spans="4:36">
      <c r="D68" t="s">
        <v>22</v>
      </c>
      <c r="E68">
        <v>0.06</v>
      </c>
      <c r="F68" s="11">
        <v>1.6638999999999999</v>
      </c>
      <c r="G68" s="11">
        <v>4.8182999999999998</v>
      </c>
      <c r="H68" s="11">
        <v>4.7183000000000002</v>
      </c>
      <c r="I68" s="11">
        <v>4.8223000000000003</v>
      </c>
      <c r="J68" s="11">
        <v>4.7831999999999999</v>
      </c>
      <c r="L68" s="11">
        <v>0.06</v>
      </c>
      <c r="M68" t="s">
        <v>87</v>
      </c>
      <c r="N68" t="s">
        <v>92</v>
      </c>
      <c r="O68" t="s">
        <v>93</v>
      </c>
      <c r="P68" t="s">
        <v>90</v>
      </c>
      <c r="S68">
        <f t="shared" si="9"/>
        <v>6.0067537328613856E-2</v>
      </c>
      <c r="T68">
        <f t="shared" si="9"/>
        <v>0.1884047357500305</v>
      </c>
      <c r="U68">
        <f t="shared" si="9"/>
        <v>0.18433622197811139</v>
      </c>
      <c r="V68">
        <f t="shared" si="9"/>
        <v>0.18856747630090728</v>
      </c>
      <c r="W68">
        <f>(J68-0.1875)/24.579</f>
        <v>0.18697668741608689</v>
      </c>
    </row>
    <row r="69" spans="4:36">
      <c r="D69" t="s">
        <v>24</v>
      </c>
      <c r="E69">
        <v>0.03</v>
      </c>
      <c r="F69" s="11">
        <v>0.89049999999999996</v>
      </c>
      <c r="G69" s="11">
        <v>4.9192</v>
      </c>
      <c r="H69" s="11">
        <v>4.9843000000000002</v>
      </c>
      <c r="I69" s="11">
        <v>4.9739000000000004</v>
      </c>
      <c r="J69" s="11">
        <v>4.6718999999999999</v>
      </c>
      <c r="L69" s="11">
        <v>0.03</v>
      </c>
      <c r="M69" t="s">
        <v>94</v>
      </c>
      <c r="N69" t="s">
        <v>92</v>
      </c>
      <c r="O69" t="s">
        <v>93</v>
      </c>
      <c r="P69" t="s">
        <v>95</v>
      </c>
      <c r="S69">
        <f t="shared" si="9"/>
        <v>2.8601651816591397E-2</v>
      </c>
      <c r="T69">
        <f t="shared" si="9"/>
        <v>0.19250986614589691</v>
      </c>
      <c r="U69">
        <f t="shared" si="9"/>
        <v>0.19515846861141625</v>
      </c>
      <c r="V69">
        <f t="shared" si="9"/>
        <v>0.19473534317913668</v>
      </c>
      <c r="W69">
        <f>(J69-0.1875)/24.579</f>
        <v>0.18244843158794091</v>
      </c>
    </row>
    <row r="70" spans="4:36">
      <c r="D70" t="s">
        <v>27</v>
      </c>
      <c r="E70">
        <v>0</v>
      </c>
      <c r="F70" s="11">
        <v>0.21079999999999999</v>
      </c>
      <c r="G70" s="11">
        <v>4.7118000000000002</v>
      </c>
      <c r="H70" s="11">
        <v>4.8822999999999999</v>
      </c>
      <c r="I70" s="11">
        <v>4.6025999999999998</v>
      </c>
      <c r="J70" s="11">
        <v>4.7690000000000001</v>
      </c>
      <c r="L70" s="11">
        <v>0</v>
      </c>
      <c r="M70" t="s">
        <v>94</v>
      </c>
      <c r="N70" t="s">
        <v>96</v>
      </c>
      <c r="O70" t="s">
        <v>93</v>
      </c>
      <c r="P70" t="s">
        <v>95</v>
      </c>
      <c r="S70">
        <f t="shared" si="9"/>
        <v>9.4796370885715398E-4</v>
      </c>
      <c r="T70">
        <f t="shared" si="9"/>
        <v>0.18407176858293667</v>
      </c>
      <c r="U70">
        <f t="shared" si="9"/>
        <v>0.19100858456405873</v>
      </c>
      <c r="V70">
        <f t="shared" si="9"/>
        <v>0.17962895154400096</v>
      </c>
      <c r="W70">
        <f>(J70-0.1875)/24.579</f>
        <v>0.18639895846047438</v>
      </c>
    </row>
    <row r="71" spans="4:36">
      <c r="D71" t="s">
        <v>29</v>
      </c>
      <c r="F71" s="11">
        <v>0.1588</v>
      </c>
      <c r="G71" s="11">
        <v>4.8437999999999999</v>
      </c>
      <c r="H71" s="11">
        <v>4.8783000000000003</v>
      </c>
      <c r="I71" s="11">
        <v>4.6222000000000003</v>
      </c>
      <c r="J71" s="11">
        <v>4.9637000000000002</v>
      </c>
      <c r="L71" t="s">
        <v>30</v>
      </c>
      <c r="M71" t="s">
        <v>94</v>
      </c>
      <c r="N71" t="s">
        <v>96</v>
      </c>
      <c r="O71" t="s">
        <v>97</v>
      </c>
      <c r="P71" t="s">
        <v>95</v>
      </c>
      <c r="S71">
        <f t="shared" si="9"/>
        <v>-1.167663452540787E-3</v>
      </c>
      <c r="T71">
        <f t="shared" si="9"/>
        <v>0.18944220676186987</v>
      </c>
      <c r="U71">
        <f t="shared" si="9"/>
        <v>0.190845844013182</v>
      </c>
      <c r="V71">
        <f t="shared" si="9"/>
        <v>0.18042638024329713</v>
      </c>
      <c r="W71">
        <f>(J71-0.1875)/24.579</f>
        <v>0.19432035477440091</v>
      </c>
    </row>
    <row r="72" spans="4:36">
      <c r="D72" t="s">
        <v>34</v>
      </c>
      <c r="F72" s="11">
        <v>0.1193</v>
      </c>
      <c r="G72" s="11">
        <v>4.8822999999999999</v>
      </c>
      <c r="H72" s="11">
        <v>4.9683000000000002</v>
      </c>
      <c r="I72" s="11">
        <v>4.7948000000000004</v>
      </c>
      <c r="J72" s="11"/>
      <c r="L72" t="s">
        <v>30</v>
      </c>
      <c r="M72" t="s">
        <v>88</v>
      </c>
      <c r="N72" t="s">
        <v>96</v>
      </c>
      <c r="O72" t="s">
        <v>97</v>
      </c>
      <c r="S72">
        <f t="shared" si="9"/>
        <v>-2.7747263924488381E-3</v>
      </c>
      <c r="T72">
        <f t="shared" si="9"/>
        <v>0.19100858456405873</v>
      </c>
      <c r="U72">
        <f t="shared" si="9"/>
        <v>0.1945075064079092</v>
      </c>
      <c r="V72">
        <f t="shared" si="9"/>
        <v>0.18744863501362954</v>
      </c>
    </row>
    <row r="73" spans="4:36">
      <c r="D73" t="s">
        <v>35</v>
      </c>
      <c r="F73" s="11">
        <v>0.13819999999999999</v>
      </c>
      <c r="G73" s="11">
        <v>4.7323000000000004</v>
      </c>
      <c r="H73" s="11">
        <v>4.7297000000000002</v>
      </c>
      <c r="I73" s="11">
        <v>4.7758000000000003</v>
      </c>
      <c r="J73" s="11"/>
      <c r="L73" t="s">
        <v>30</v>
      </c>
      <c r="M73" t="s">
        <v>88</v>
      </c>
      <c r="N73" t="s">
        <v>89</v>
      </c>
      <c r="O73" t="s">
        <v>97</v>
      </c>
      <c r="S73">
        <f t="shared" si="9"/>
        <v>-2.0057772895561254E-3</v>
      </c>
      <c r="T73">
        <f t="shared" si="9"/>
        <v>0.18490581390618008</v>
      </c>
      <c r="U73">
        <f t="shared" si="9"/>
        <v>0.18480003254811017</v>
      </c>
      <c r="V73">
        <f t="shared" si="9"/>
        <v>0.18667561739696489</v>
      </c>
    </row>
    <row r="74" spans="4:36">
      <c r="F74" s="11"/>
      <c r="G74" s="11"/>
      <c r="H74" s="11"/>
      <c r="I74" s="11"/>
      <c r="J74" s="11"/>
      <c r="AG74" t="s">
        <v>36</v>
      </c>
    </row>
    <row r="75" spans="4:36">
      <c r="F75" s="11"/>
      <c r="G75" s="11"/>
      <c r="H75" s="11"/>
      <c r="I75" s="11"/>
      <c r="J75" s="11"/>
      <c r="R75" t="s">
        <v>37</v>
      </c>
      <c r="AB75" t="s">
        <v>38</v>
      </c>
      <c r="AC75" t="s">
        <v>39</v>
      </c>
      <c r="AE75" t="s">
        <v>40</v>
      </c>
      <c r="AG75" t="s">
        <v>98</v>
      </c>
      <c r="AJ75" t="s">
        <v>99</v>
      </c>
    </row>
    <row r="76" spans="4:36">
      <c r="F76" s="11"/>
      <c r="G76" s="11"/>
      <c r="H76" s="11"/>
      <c r="I76" s="11"/>
      <c r="J76" s="11"/>
      <c r="S76">
        <f t="shared" ref="S76:W82" si="10">170/1*S66</f>
        <v>0.69718051995606001</v>
      </c>
      <c r="T76" s="4">
        <f t="shared" si="10"/>
        <v>30.65242686846495</v>
      </c>
      <c r="U76" s="5">
        <f t="shared" si="10"/>
        <v>32.720452418731441</v>
      </c>
      <c r="V76" s="12">
        <f t="shared" si="10"/>
        <v>32.057162618495461</v>
      </c>
      <c r="W76" s="13">
        <f t="shared" si="10"/>
        <v>31.79710321819439</v>
      </c>
      <c r="AB76">
        <f>AVERAGE(T76:T78)</f>
        <v>31.600214275058658</v>
      </c>
      <c r="AC76">
        <f>STDEV(T76:T78)</f>
        <v>0.82205722361564904</v>
      </c>
      <c r="AE76">
        <f>AB76/1000</f>
        <v>3.1600214275058658E-2</v>
      </c>
      <c r="AG76">
        <f>AE76*46.0684</f>
        <v>1.4557713113091122</v>
      </c>
      <c r="AJ76">
        <f>AG76/60</f>
        <v>2.4262855188485203E-2</v>
      </c>
    </row>
    <row r="77" spans="4:36">
      <c r="D77" s="1" t="s">
        <v>743</v>
      </c>
      <c r="F77" s="164" t="s">
        <v>733</v>
      </c>
      <c r="G77" s="154"/>
      <c r="H77" s="11"/>
      <c r="I77" s="11"/>
      <c r="J77" s="11"/>
      <c r="R77" t="s">
        <v>42</v>
      </c>
      <c r="S77">
        <f t="shared" si="10"/>
        <v>17.063631555392814</v>
      </c>
      <c r="T77" s="4">
        <f t="shared" si="10"/>
        <v>32.11941087920583</v>
      </c>
      <c r="U77" s="6">
        <f t="shared" si="10"/>
        <v>32.483909028032059</v>
      </c>
      <c r="V77" s="12">
        <f t="shared" si="10"/>
        <v>32.216933154318731</v>
      </c>
      <c r="W77" s="13">
        <f>170/1*W67</f>
        <v>31.771512266569026</v>
      </c>
      <c r="AB77">
        <f>AVERAGE(T79:T81)</f>
        <v>32.074684351139865</v>
      </c>
      <c r="AC77">
        <f>STDEV(T79:T81)</f>
        <v>0.72608653415326863</v>
      </c>
      <c r="AE77">
        <f t="shared" ref="AE77:AE85" si="11">AB77/1000</f>
        <v>3.2074684351139866E-2</v>
      </c>
      <c r="AG77">
        <f t="shared" ref="AG77:AG85" si="12">AE77*46.0684</f>
        <v>1.4776293885620517</v>
      </c>
      <c r="AJ77">
        <f t="shared" ref="AJ77:AJ85" si="13">AG77/60</f>
        <v>2.4627156476034195E-2</v>
      </c>
    </row>
    <row r="78" spans="4:36">
      <c r="F78" s="164" t="s">
        <v>734</v>
      </c>
      <c r="G78" s="155"/>
      <c r="H78" s="11"/>
      <c r="I78" s="11"/>
      <c r="J78" s="11"/>
      <c r="S78">
        <f t="shared" si="10"/>
        <v>10.211481345864355</v>
      </c>
      <c r="T78" s="4">
        <f t="shared" si="10"/>
        <v>32.028805077505183</v>
      </c>
      <c r="U78" s="6">
        <f t="shared" si="10"/>
        <v>31.337157736278936</v>
      </c>
      <c r="V78" s="14">
        <f t="shared" si="10"/>
        <v>32.056470971154241</v>
      </c>
      <c r="W78" s="13">
        <f>170/1*W68</f>
        <v>31.786036860734772</v>
      </c>
      <c r="Z78" s="8"/>
      <c r="AB78">
        <f>AVERAGE(T82:T83,U76)</f>
        <v>32.208633386224015</v>
      </c>
      <c r="AC78">
        <f>STDEV(T82:T83,U76)</f>
        <v>0.68231632446350132</v>
      </c>
      <c r="AE78">
        <f t="shared" si="11"/>
        <v>3.2208633386224018E-2</v>
      </c>
      <c r="AG78">
        <f t="shared" si="12"/>
        <v>1.4838002062899225</v>
      </c>
      <c r="AJ78">
        <f t="shared" si="13"/>
        <v>2.4730003438165376E-2</v>
      </c>
    </row>
    <row r="79" spans="4:36">
      <c r="F79" s="164" t="s">
        <v>735</v>
      </c>
      <c r="G79" s="156"/>
      <c r="H79" s="11"/>
      <c r="I79" s="11"/>
      <c r="J79" s="11"/>
      <c r="S79">
        <f t="shared" si="10"/>
        <v>4.8622808088205378</v>
      </c>
      <c r="T79" s="3">
        <f t="shared" si="10"/>
        <v>32.726677244802474</v>
      </c>
      <c r="U79" s="6">
        <f t="shared" si="10"/>
        <v>33.176939663940765</v>
      </c>
      <c r="V79" s="14">
        <f t="shared" si="10"/>
        <v>33.105008340453239</v>
      </c>
      <c r="W79" s="15">
        <f>170/1*W69</f>
        <v>31.016233369949955</v>
      </c>
      <c r="Z79" s="8"/>
      <c r="AB79">
        <f>AVERAGE(U77:U79)</f>
        <v>32.33266880941725</v>
      </c>
      <c r="AC79">
        <f>STDEV(U77:U79)</f>
        <v>0.92916876192259024</v>
      </c>
      <c r="AE79">
        <f t="shared" si="11"/>
        <v>3.233266880941725E-2</v>
      </c>
      <c r="AG79">
        <f t="shared" si="12"/>
        <v>1.4895143197797576</v>
      </c>
      <c r="AJ79">
        <f t="shared" si="13"/>
        <v>2.482523866299596E-2</v>
      </c>
    </row>
    <row r="80" spans="4:36">
      <c r="F80" s="164" t="s">
        <v>736</v>
      </c>
      <c r="G80" s="158"/>
      <c r="H80" s="11"/>
      <c r="I80" s="11"/>
      <c r="J80" s="11"/>
      <c r="S80" s="8">
        <f t="shared" si="10"/>
        <v>0.16115383050571619</v>
      </c>
      <c r="T80" s="3">
        <f t="shared" si="10"/>
        <v>31.292200659099233</v>
      </c>
      <c r="U80" s="16">
        <f t="shared" si="10"/>
        <v>32.471459375889985</v>
      </c>
      <c r="V80" s="14">
        <f t="shared" si="10"/>
        <v>30.536921762480166</v>
      </c>
      <c r="W80" s="15">
        <f>170/1*W70</f>
        <v>31.687822938280647</v>
      </c>
      <c r="Z80" s="8"/>
      <c r="AB80">
        <f>AVERAGE(U80:U82)</f>
        <v>32.660509649158492</v>
      </c>
      <c r="AC80">
        <f>STDEV(U80:U82)</f>
        <v>0.35167620534207905</v>
      </c>
      <c r="AE80">
        <f t="shared" si="11"/>
        <v>3.2660509649158495E-2</v>
      </c>
      <c r="AG80">
        <f t="shared" si="12"/>
        <v>1.5046174227212932</v>
      </c>
      <c r="AJ80">
        <f t="shared" si="13"/>
        <v>2.5076957045354887E-2</v>
      </c>
    </row>
    <row r="81" spans="6:36">
      <c r="F81" s="164" t="s">
        <v>737</v>
      </c>
      <c r="G81" s="160"/>
      <c r="H81" s="11"/>
      <c r="I81" s="11"/>
      <c r="J81" s="11"/>
      <c r="S81" s="8">
        <f t="shared" si="10"/>
        <v>-0.19850278693193379</v>
      </c>
      <c r="T81" s="3">
        <f t="shared" si="10"/>
        <v>32.205175149517878</v>
      </c>
      <c r="U81" s="16">
        <f t="shared" si="10"/>
        <v>32.443793482240942</v>
      </c>
      <c r="V81" s="17">
        <f t="shared" si="10"/>
        <v>30.672484641360512</v>
      </c>
      <c r="W81" s="15">
        <f>170/1*W71</f>
        <v>33.034460311648154</v>
      </c>
      <c r="Z81" s="8"/>
      <c r="AB81">
        <f>AVERAGE(U83,V76,V77)</f>
        <v>31.896700435330974</v>
      </c>
      <c r="AC81">
        <f>STDEV(U83,V76,V77)</f>
        <v>0.42388954663412076</v>
      </c>
      <c r="AE81">
        <f t="shared" si="11"/>
        <v>3.1896700435330973E-2</v>
      </c>
      <c r="AG81">
        <f t="shared" si="12"/>
        <v>1.4694299543350013</v>
      </c>
      <c r="AJ81">
        <f t="shared" si="13"/>
        <v>2.4490499238916687E-2</v>
      </c>
    </row>
    <row r="82" spans="6:36">
      <c r="F82" s="164" t="s">
        <v>738</v>
      </c>
      <c r="G82" s="161"/>
      <c r="H82" s="11"/>
      <c r="I82" s="11"/>
      <c r="J82" s="11"/>
      <c r="S82" s="8">
        <f t="shared" si="10"/>
        <v>-0.47170348671630247</v>
      </c>
      <c r="T82" s="5">
        <f t="shared" si="10"/>
        <v>32.471459375889985</v>
      </c>
      <c r="U82" s="16">
        <f t="shared" si="10"/>
        <v>33.066276089344562</v>
      </c>
      <c r="V82" s="17">
        <f t="shared" si="10"/>
        <v>31.866267952317024</v>
      </c>
      <c r="Z82" s="8"/>
      <c r="AB82">
        <f>AVERAGE(V78:V80)</f>
        <v>31.89946702469588</v>
      </c>
      <c r="AC82">
        <f>STDEV(V78:V80)</f>
        <v>1.2912222300572378</v>
      </c>
      <c r="AE82">
        <f t="shared" si="11"/>
        <v>3.1899467024695878E-2</v>
      </c>
      <c r="AG82">
        <f t="shared" si="12"/>
        <v>1.4695574066804995</v>
      </c>
      <c r="AJ82">
        <f t="shared" si="13"/>
        <v>2.4492623444674993E-2</v>
      </c>
    </row>
    <row r="83" spans="6:36">
      <c r="F83" s="164" t="s">
        <v>739</v>
      </c>
      <c r="G83" s="163"/>
      <c r="H83" s="11"/>
      <c r="I83" s="11"/>
      <c r="J83" s="11"/>
      <c r="S83" s="8">
        <f>170/1*S73</f>
        <v>-0.34098213922454135</v>
      </c>
      <c r="T83" s="5">
        <f>170/1*T73</f>
        <v>31.433988364050613</v>
      </c>
      <c r="U83" s="12">
        <f>170/1*U73</f>
        <v>31.41600553317873</v>
      </c>
      <c r="V83" s="17">
        <f>170/1*V73</f>
        <v>31.734854957484032</v>
      </c>
      <c r="Z83" s="8"/>
      <c r="AB83">
        <f>AVERAGE(V81:V83)</f>
        <v>31.424535850387191</v>
      </c>
      <c r="AC83">
        <f>STDEV(V81:V83)</f>
        <v>0.6546014891150258</v>
      </c>
      <c r="AE83">
        <f t="shared" si="11"/>
        <v>3.1424535850387188E-2</v>
      </c>
      <c r="AG83">
        <f t="shared" si="12"/>
        <v>1.4476780873699771</v>
      </c>
      <c r="AJ83">
        <f t="shared" si="13"/>
        <v>2.4127968122832952E-2</v>
      </c>
    </row>
    <row r="84" spans="6:36">
      <c r="F84" s="164" t="s">
        <v>740</v>
      </c>
      <c r="G84" s="162"/>
      <c r="H84" s="11"/>
      <c r="I84" s="11"/>
      <c r="J84" s="11"/>
      <c r="AB84">
        <f>AVERAGE(W76:W78)</f>
        <v>31.784884115166061</v>
      </c>
      <c r="AC84">
        <f>STDEV(W76:W78)</f>
        <v>1.2834360834594383E-2</v>
      </c>
      <c r="AE84">
        <f t="shared" si="11"/>
        <v>3.1784884115166064E-2</v>
      </c>
      <c r="AG84">
        <f t="shared" si="12"/>
        <v>1.4642787553711163</v>
      </c>
      <c r="AJ84">
        <f t="shared" si="13"/>
        <v>2.440464592285194E-2</v>
      </c>
    </row>
    <row r="85" spans="6:36">
      <c r="F85" s="164" t="s">
        <v>741</v>
      </c>
      <c r="G85" s="159"/>
      <c r="H85" s="11"/>
      <c r="I85" s="11"/>
      <c r="J85" s="11"/>
      <c r="R85" t="s">
        <v>43</v>
      </c>
      <c r="S85">
        <f>785/1*S66</f>
        <v>3.2193335774441598</v>
      </c>
      <c r="T85">
        <f>785/1*T66</f>
        <v>141.54208877497049</v>
      </c>
      <c r="U85">
        <f>785/1*U66</f>
        <v>151.09150087473046</v>
      </c>
      <c r="V85">
        <f>785/1*V66</f>
        <v>148.02866267952317</v>
      </c>
      <c r="W85">
        <f>785/1*W66</f>
        <v>146.82780015460349</v>
      </c>
      <c r="AB85">
        <f>AVERAGE(W79:W81)</f>
        <v>31.912838873292923</v>
      </c>
      <c r="AC85">
        <f>STDEV(W79:W81)</f>
        <v>1.0277568415273144</v>
      </c>
      <c r="AE85">
        <f t="shared" si="11"/>
        <v>3.1912838873292923E-2</v>
      </c>
      <c r="AG85">
        <f t="shared" si="12"/>
        <v>1.4701734263504076</v>
      </c>
      <c r="AJ85">
        <f t="shared" si="13"/>
        <v>2.4502890439173461E-2</v>
      </c>
    </row>
    <row r="86" spans="6:36">
      <c r="F86" s="164" t="s">
        <v>742</v>
      </c>
      <c r="G86" s="157"/>
      <c r="H86" s="11"/>
      <c r="I86" s="11"/>
      <c r="J86" s="11"/>
      <c r="S86">
        <f t="shared" ref="S86:W92" si="14">785/1*S67</f>
        <v>78.793828064607993</v>
      </c>
      <c r="T86">
        <f t="shared" si="14"/>
        <v>148.31610317750926</v>
      </c>
      <c r="U86">
        <f t="shared" si="14"/>
        <v>149.99922698238333</v>
      </c>
      <c r="V86">
        <f t="shared" si="14"/>
        <v>148.76642662435415</v>
      </c>
      <c r="W86">
        <f t="shared" si="14"/>
        <v>146.70963017209814</v>
      </c>
    </row>
    <row r="87" spans="6:36">
      <c r="F87" s="11"/>
      <c r="G87" s="11"/>
      <c r="H87" s="11"/>
      <c r="I87" s="11"/>
      <c r="J87" s="11"/>
      <c r="S87">
        <f t="shared" si="14"/>
        <v>47.153016802961879</v>
      </c>
      <c r="T87">
        <f t="shared" si="14"/>
        <v>147.89771756377394</v>
      </c>
      <c r="U87">
        <f t="shared" si="14"/>
        <v>144.70393425281745</v>
      </c>
      <c r="V87">
        <f t="shared" si="14"/>
        <v>148.0254688962122</v>
      </c>
      <c r="W87">
        <f t="shared" si="14"/>
        <v>146.77669962162821</v>
      </c>
    </row>
    <row r="88" spans="6:36">
      <c r="F88" s="11"/>
      <c r="G88" s="11"/>
      <c r="H88" s="11"/>
      <c r="I88" s="11"/>
      <c r="J88" s="11"/>
      <c r="S88">
        <f t="shared" si="14"/>
        <v>22.452296676024247</v>
      </c>
      <c r="T88">
        <f t="shared" si="14"/>
        <v>151.12024492452906</v>
      </c>
      <c r="U88">
        <f t="shared" si="14"/>
        <v>153.19939785996175</v>
      </c>
      <c r="V88">
        <f t="shared" si="14"/>
        <v>152.86724439562229</v>
      </c>
      <c r="W88">
        <f t="shared" si="14"/>
        <v>143.2220187965336</v>
      </c>
      <c r="AF88" t="s">
        <v>44</v>
      </c>
      <c r="AG88">
        <f>AVERAGE(AG76:AG86)</f>
        <v>1.473245027876914</v>
      </c>
    </row>
    <row r="89" spans="6:36">
      <c r="F89" s="11"/>
      <c r="G89" s="11"/>
      <c r="H89" s="11"/>
      <c r="I89" s="11"/>
      <c r="J89" s="11"/>
      <c r="S89">
        <f t="shared" si="14"/>
        <v>0.74415151145286584</v>
      </c>
      <c r="T89">
        <f t="shared" si="14"/>
        <v>144.49633833760529</v>
      </c>
      <c r="U89">
        <f t="shared" si="14"/>
        <v>149.9417388827861</v>
      </c>
      <c r="V89">
        <f t="shared" si="14"/>
        <v>141.00872696204075</v>
      </c>
      <c r="W89">
        <f t="shared" si="14"/>
        <v>146.32318239147239</v>
      </c>
    </row>
    <row r="90" spans="6:36">
      <c r="S90">
        <f t="shared" si="14"/>
        <v>-0.91661581024451777</v>
      </c>
      <c r="T90">
        <f t="shared" si="14"/>
        <v>148.71213230806785</v>
      </c>
      <c r="U90">
        <f t="shared" si="14"/>
        <v>149.81398755034786</v>
      </c>
      <c r="V90">
        <f t="shared" si="14"/>
        <v>141.63470849098826</v>
      </c>
      <c r="W90">
        <f t="shared" si="14"/>
        <v>152.54147849790471</v>
      </c>
    </row>
    <row r="91" spans="6:36">
      <c r="S91">
        <f t="shared" si="14"/>
        <v>-2.1781602180723381</v>
      </c>
      <c r="T91">
        <f t="shared" si="14"/>
        <v>149.9417388827861</v>
      </c>
      <c r="U91">
        <f t="shared" si="14"/>
        <v>152.68839253020872</v>
      </c>
      <c r="V91">
        <f t="shared" si="14"/>
        <v>147.14717848569919</v>
      </c>
    </row>
    <row r="92" spans="6:36">
      <c r="S92">
        <f t="shared" si="14"/>
        <v>-1.5745351723015584</v>
      </c>
      <c r="T92">
        <f t="shared" si="14"/>
        <v>145.15106391635135</v>
      </c>
      <c r="U92">
        <f t="shared" si="14"/>
        <v>145.0680255502665</v>
      </c>
      <c r="V92">
        <f t="shared" si="14"/>
        <v>146.54035965661745</v>
      </c>
    </row>
    <row r="97" spans="4:36">
      <c r="D97" s="10" t="s">
        <v>100</v>
      </c>
    </row>
    <row r="98" spans="4:36">
      <c r="D98" t="s">
        <v>11</v>
      </c>
      <c r="F98">
        <v>1</v>
      </c>
      <c r="G98">
        <v>2</v>
      </c>
      <c r="H98">
        <v>3</v>
      </c>
      <c r="I98">
        <v>4</v>
      </c>
      <c r="J98">
        <v>5</v>
      </c>
      <c r="K98">
        <v>6</v>
      </c>
      <c r="L98">
        <v>7</v>
      </c>
      <c r="M98">
        <v>8</v>
      </c>
      <c r="N98">
        <v>9</v>
      </c>
      <c r="O98">
        <v>10</v>
      </c>
      <c r="P98">
        <v>11</v>
      </c>
      <c r="R98" t="s">
        <v>12</v>
      </c>
      <c r="S98">
        <v>12</v>
      </c>
    </row>
    <row r="99" spans="4:36">
      <c r="D99" t="s">
        <v>13</v>
      </c>
      <c r="F99" s="11">
        <v>0.2883</v>
      </c>
      <c r="G99" s="11">
        <v>4.7192999999999996</v>
      </c>
      <c r="H99" s="11">
        <v>3.8182999999999998</v>
      </c>
      <c r="I99" s="11">
        <v>3.7223999999999999</v>
      </c>
      <c r="J99" s="11">
        <v>4.7847999999999997</v>
      </c>
      <c r="L99" t="s">
        <v>14</v>
      </c>
      <c r="M99" t="s">
        <v>87</v>
      </c>
      <c r="N99" t="s">
        <v>88</v>
      </c>
      <c r="O99" t="s">
        <v>89</v>
      </c>
      <c r="P99" t="s">
        <v>90</v>
      </c>
      <c r="S99">
        <f t="shared" ref="S99:W106" si="15">(F99-0.1875)/24.579</f>
        <v>4.1010618820944708E-3</v>
      </c>
      <c r="T99">
        <f t="shared" si="15"/>
        <v>0.18437690711583057</v>
      </c>
      <c r="U99">
        <f t="shared" si="15"/>
        <v>0.14771959803083931</v>
      </c>
      <c r="V99">
        <f t="shared" si="15"/>
        <v>0.1438178933235689</v>
      </c>
      <c r="W99">
        <f t="shared" si="15"/>
        <v>0.18704178363643759</v>
      </c>
    </row>
    <row r="100" spans="4:36">
      <c r="D100" t="s">
        <v>19</v>
      </c>
      <c r="E100">
        <v>0.1</v>
      </c>
      <c r="F100" s="11">
        <v>2.6545999999999998</v>
      </c>
      <c r="G100" s="11">
        <v>4.5313999999999997</v>
      </c>
      <c r="H100" s="11">
        <v>3.5840999999999998</v>
      </c>
      <c r="I100" s="11">
        <v>3.7454999999999998</v>
      </c>
      <c r="J100" s="11">
        <v>4.8811</v>
      </c>
      <c r="L100" s="11">
        <v>0.1</v>
      </c>
      <c r="M100" t="s">
        <v>91</v>
      </c>
      <c r="N100" t="s">
        <v>92</v>
      </c>
      <c r="O100" t="s">
        <v>89</v>
      </c>
      <c r="P100" t="s">
        <v>90</v>
      </c>
      <c r="S100">
        <f t="shared" si="15"/>
        <v>0.10037430326701655</v>
      </c>
      <c r="T100">
        <f t="shared" si="15"/>
        <v>0.17673216973839453</v>
      </c>
      <c r="U100">
        <f t="shared" si="15"/>
        <v>0.13819113877700476</v>
      </c>
      <c r="V100">
        <f t="shared" si="15"/>
        <v>0.14475772000488221</v>
      </c>
      <c r="W100">
        <f t="shared" si="15"/>
        <v>0.19095976239879572</v>
      </c>
    </row>
    <row r="101" spans="4:36">
      <c r="D101" t="s">
        <v>22</v>
      </c>
      <c r="E101">
        <v>0.06</v>
      </c>
      <c r="F101" s="11">
        <v>1.6638999999999999</v>
      </c>
      <c r="G101" s="11">
        <v>4.8182999999999998</v>
      </c>
      <c r="H101" s="11">
        <v>3.7183000000000002</v>
      </c>
      <c r="I101" s="11">
        <v>4.8223000000000003</v>
      </c>
      <c r="J101" s="11">
        <v>4.7831999999999999</v>
      </c>
      <c r="L101" s="11">
        <v>0.06</v>
      </c>
      <c r="M101" t="s">
        <v>87</v>
      </c>
      <c r="N101" t="s">
        <v>92</v>
      </c>
      <c r="O101" t="s">
        <v>93</v>
      </c>
      <c r="P101" t="s">
        <v>90</v>
      </c>
      <c r="S101">
        <f t="shared" si="15"/>
        <v>6.0067537328613856E-2</v>
      </c>
      <c r="T101">
        <f t="shared" si="15"/>
        <v>0.1884047357500305</v>
      </c>
      <c r="U101">
        <f t="shared" si="15"/>
        <v>0.14365108425892023</v>
      </c>
      <c r="V101">
        <f t="shared" si="15"/>
        <v>0.18856747630090728</v>
      </c>
      <c r="W101">
        <f t="shared" si="15"/>
        <v>0.18697668741608689</v>
      </c>
    </row>
    <row r="102" spans="4:36">
      <c r="D102" t="s">
        <v>24</v>
      </c>
      <c r="E102">
        <v>0.03</v>
      </c>
      <c r="F102" s="11">
        <v>0.89049999999999996</v>
      </c>
      <c r="G102" s="11">
        <v>4.5919999999999996</v>
      </c>
      <c r="H102" s="11">
        <v>3.8843000000000001</v>
      </c>
      <c r="I102" s="11">
        <v>4.7739000000000003</v>
      </c>
      <c r="J102" s="11">
        <v>4.8719000000000001</v>
      </c>
      <c r="L102" s="11">
        <v>0.03</v>
      </c>
      <c r="M102" t="s">
        <v>94</v>
      </c>
      <c r="N102" t="s">
        <v>92</v>
      </c>
      <c r="O102" t="s">
        <v>93</v>
      </c>
      <c r="P102" t="s">
        <v>95</v>
      </c>
      <c r="S102">
        <f t="shared" si="15"/>
        <v>2.8601651816591397E-2</v>
      </c>
      <c r="T102">
        <f t="shared" si="15"/>
        <v>0.17919768908417752</v>
      </c>
      <c r="U102">
        <f t="shared" si="15"/>
        <v>0.15040481712030596</v>
      </c>
      <c r="V102">
        <f t="shared" si="15"/>
        <v>0.18659831563529844</v>
      </c>
      <c r="W102">
        <f t="shared" si="15"/>
        <v>0.19058545913177916</v>
      </c>
    </row>
    <row r="103" spans="4:36">
      <c r="D103" t="s">
        <v>27</v>
      </c>
      <c r="E103">
        <v>0</v>
      </c>
      <c r="F103" s="11">
        <v>0.21079999999999999</v>
      </c>
      <c r="G103" s="11">
        <v>4.4118000000000004</v>
      </c>
      <c r="H103" s="11">
        <v>3.8822999999999999</v>
      </c>
      <c r="I103" s="11">
        <v>4.8026</v>
      </c>
      <c r="J103" s="11">
        <v>4.7769000000000004</v>
      </c>
      <c r="L103" s="11">
        <v>0</v>
      </c>
      <c r="M103" t="s">
        <v>94</v>
      </c>
      <c r="N103" t="s">
        <v>96</v>
      </c>
      <c r="O103" t="s">
        <v>93</v>
      </c>
      <c r="P103" t="s">
        <v>95</v>
      </c>
      <c r="S103">
        <f t="shared" si="15"/>
        <v>9.4796370885715398E-4</v>
      </c>
      <c r="T103">
        <f t="shared" si="15"/>
        <v>0.17186622726717932</v>
      </c>
      <c r="U103">
        <f t="shared" si="15"/>
        <v>0.15032344684486756</v>
      </c>
      <c r="V103">
        <f t="shared" si="15"/>
        <v>0.18776597908783921</v>
      </c>
      <c r="W103">
        <f t="shared" si="15"/>
        <v>0.18672037104845601</v>
      </c>
    </row>
    <row r="104" spans="4:36">
      <c r="D104" t="s">
        <v>29</v>
      </c>
      <c r="F104" s="11">
        <v>0.1588</v>
      </c>
      <c r="G104" s="11">
        <v>4.7438000000000002</v>
      </c>
      <c r="H104" s="11">
        <v>3.7829999999999999</v>
      </c>
      <c r="I104" s="11">
        <v>4.8221999999999996</v>
      </c>
      <c r="J104" s="11">
        <v>4.8636999999999997</v>
      </c>
      <c r="L104" t="s">
        <v>30</v>
      </c>
      <c r="M104" t="s">
        <v>94</v>
      </c>
      <c r="N104" t="s">
        <v>96</v>
      </c>
      <c r="O104" t="s">
        <v>97</v>
      </c>
      <c r="P104" t="s">
        <v>95</v>
      </c>
      <c r="S104">
        <f t="shared" si="15"/>
        <v>-1.167663452540787E-3</v>
      </c>
      <c r="T104">
        <f t="shared" si="15"/>
        <v>0.18537369298995077</v>
      </c>
      <c r="U104">
        <f t="shared" si="15"/>
        <v>0.14628341266935188</v>
      </c>
      <c r="V104">
        <f t="shared" si="15"/>
        <v>0.18856340778713535</v>
      </c>
      <c r="W104">
        <f t="shared" si="15"/>
        <v>0.19025184100248177</v>
      </c>
    </row>
    <row r="105" spans="4:36">
      <c r="D105" t="s">
        <v>34</v>
      </c>
      <c r="F105" s="11">
        <v>0.1193</v>
      </c>
      <c r="G105" s="11">
        <v>3.8822999999999999</v>
      </c>
      <c r="H105" s="11">
        <v>3.7683</v>
      </c>
      <c r="I105" s="11">
        <v>4.8948</v>
      </c>
      <c r="J105" s="11"/>
      <c r="L105" t="s">
        <v>30</v>
      </c>
      <c r="M105" t="s">
        <v>88</v>
      </c>
      <c r="N105" t="s">
        <v>96</v>
      </c>
      <c r="O105" t="s">
        <v>97</v>
      </c>
      <c r="S105">
        <f t="shared" si="15"/>
        <v>-2.7747263924488381E-3</v>
      </c>
      <c r="T105">
        <f t="shared" si="15"/>
        <v>0.15032344684486756</v>
      </c>
      <c r="U105">
        <f t="shared" si="15"/>
        <v>0.14568534114487977</v>
      </c>
      <c r="V105">
        <f t="shared" si="15"/>
        <v>0.19151714878554862</v>
      </c>
    </row>
    <row r="106" spans="4:36">
      <c r="D106" t="s">
        <v>35</v>
      </c>
      <c r="F106" s="11">
        <v>0.13819999999999999</v>
      </c>
      <c r="G106" s="11">
        <v>3.7323</v>
      </c>
      <c r="H106" s="11">
        <v>3.8296999999999999</v>
      </c>
      <c r="I106" s="11">
        <v>4.9757999999999996</v>
      </c>
      <c r="J106" s="11"/>
      <c r="L106" t="s">
        <v>30</v>
      </c>
      <c r="M106" t="s">
        <v>88</v>
      </c>
      <c r="N106" t="s">
        <v>89</v>
      </c>
      <c r="O106" t="s">
        <v>97</v>
      </c>
      <c r="S106">
        <f t="shared" si="15"/>
        <v>-2.0057772895561254E-3</v>
      </c>
      <c r="T106">
        <f t="shared" si="15"/>
        <v>0.14422067618698889</v>
      </c>
      <c r="U106">
        <f t="shared" si="15"/>
        <v>0.14818340860083812</v>
      </c>
      <c r="V106">
        <f t="shared" si="15"/>
        <v>0.19481264494080311</v>
      </c>
    </row>
    <row r="107" spans="4:36">
      <c r="F107" s="11"/>
      <c r="G107" s="11"/>
      <c r="H107" s="11"/>
      <c r="I107" s="11"/>
      <c r="J107" s="11"/>
      <c r="AG107" t="s">
        <v>36</v>
      </c>
    </row>
    <row r="108" spans="4:36">
      <c r="F108" s="11"/>
      <c r="G108" s="11"/>
      <c r="H108" s="11"/>
      <c r="I108" s="11"/>
      <c r="J108" s="11"/>
      <c r="R108" t="s">
        <v>37</v>
      </c>
      <c r="AB108" t="s">
        <v>38</v>
      </c>
      <c r="AC108" t="s">
        <v>39</v>
      </c>
      <c r="AE108" t="s">
        <v>40</v>
      </c>
      <c r="AG108" t="s">
        <v>98</v>
      </c>
      <c r="AJ108" t="s">
        <v>101</v>
      </c>
    </row>
    <row r="109" spans="4:36">
      <c r="F109" s="11"/>
      <c r="G109" s="11"/>
      <c r="H109" s="11"/>
      <c r="I109" s="11"/>
      <c r="J109" s="11"/>
      <c r="S109">
        <f t="shared" ref="S109:W116" si="16">170/1*S99</f>
        <v>0.69718051995606001</v>
      </c>
      <c r="T109" s="4">
        <f t="shared" si="16"/>
        <v>31.344074209691197</v>
      </c>
      <c r="U109" s="5">
        <f t="shared" si="16"/>
        <v>25.112331665242682</v>
      </c>
      <c r="V109" s="12">
        <f t="shared" si="16"/>
        <v>24.449041865006713</v>
      </c>
      <c r="W109" s="13">
        <f t="shared" si="16"/>
        <v>31.79710321819439</v>
      </c>
      <c r="AB109">
        <f>AVERAGE(T109:T111)</f>
        <v>31.139116047574486</v>
      </c>
      <c r="AC109">
        <f>STDEV(T109:T111)</f>
        <v>1.0079203572838911</v>
      </c>
      <c r="AE109">
        <f>AB109/1000</f>
        <v>3.1139116047574487E-2</v>
      </c>
      <c r="AG109">
        <f>AE109*46.0684</f>
        <v>1.4345292537260803</v>
      </c>
      <c r="AJ109">
        <f>AG109/60</f>
        <v>2.3908820895434672E-2</v>
      </c>
    </row>
    <row r="110" spans="4:36">
      <c r="F110" s="1" t="s">
        <v>743</v>
      </c>
      <c r="H110" s="164" t="s">
        <v>733</v>
      </c>
      <c r="I110" s="154"/>
      <c r="J110" s="11"/>
      <c r="R110" t="s">
        <v>42</v>
      </c>
      <c r="S110">
        <f t="shared" si="16"/>
        <v>17.063631555392814</v>
      </c>
      <c r="T110" s="4">
        <f t="shared" si="16"/>
        <v>30.044468855527072</v>
      </c>
      <c r="U110" s="6">
        <f t="shared" si="16"/>
        <v>23.49249359209081</v>
      </c>
      <c r="V110" s="12">
        <f t="shared" si="16"/>
        <v>24.608812400829976</v>
      </c>
      <c r="W110" s="13">
        <f t="shared" si="16"/>
        <v>32.463159607795276</v>
      </c>
      <c r="AB110">
        <f>AVERAGE(T112:T114)</f>
        <v>30.39813119600743</v>
      </c>
      <c r="AC110">
        <f>STDEV(T112:T114)</f>
        <v>1.149533972279285</v>
      </c>
      <c r="AE110">
        <f t="shared" ref="AE110:AE118" si="17">AB110/1000</f>
        <v>3.0398131196007431E-2</v>
      </c>
      <c r="AG110">
        <f t="shared" ref="AG110:AG118" si="18">AE110*46.0684</f>
        <v>1.4003932671901487</v>
      </c>
      <c r="AJ110">
        <f t="shared" ref="AJ110:AJ118" si="19">AG110/60</f>
        <v>2.3339887786502478E-2</v>
      </c>
    </row>
    <row r="111" spans="4:36">
      <c r="H111" s="164" t="s">
        <v>734</v>
      </c>
      <c r="I111" s="155"/>
      <c r="J111" s="11"/>
      <c r="S111">
        <f t="shared" si="16"/>
        <v>10.211481345864355</v>
      </c>
      <c r="T111" s="4">
        <f t="shared" si="16"/>
        <v>32.028805077505183</v>
      </c>
      <c r="U111" s="6">
        <f t="shared" si="16"/>
        <v>24.420684324016438</v>
      </c>
      <c r="V111" s="14">
        <f t="shared" si="16"/>
        <v>32.056470971154241</v>
      </c>
      <c r="W111" s="13">
        <f t="shared" si="16"/>
        <v>31.786036860734772</v>
      </c>
      <c r="Z111" s="8"/>
      <c r="AB111">
        <f>AVERAGE(T115:T116,U109)</f>
        <v>25.061610860219428</v>
      </c>
      <c r="AC111">
        <f>STDEV(T115:T116,U109)</f>
        <v>0.5205919468724135</v>
      </c>
      <c r="AE111">
        <f t="shared" si="17"/>
        <v>2.5061610860219428E-2</v>
      </c>
      <c r="AG111">
        <f t="shared" si="18"/>
        <v>1.1545483137529327</v>
      </c>
      <c r="AJ111">
        <f t="shared" si="19"/>
        <v>1.9242471895882209E-2</v>
      </c>
    </row>
    <row r="112" spans="4:36">
      <c r="H112" s="164" t="s">
        <v>735</v>
      </c>
      <c r="I112" s="156"/>
      <c r="J112" s="11"/>
      <c r="S112">
        <f t="shared" si="16"/>
        <v>4.8622808088205378</v>
      </c>
      <c r="T112" s="3">
        <f t="shared" si="16"/>
        <v>30.463607144310178</v>
      </c>
      <c r="U112" s="6">
        <f t="shared" si="16"/>
        <v>25.568818910452013</v>
      </c>
      <c r="V112" s="14">
        <f t="shared" si="16"/>
        <v>31.721713658000734</v>
      </c>
      <c r="W112" s="15">
        <f t="shared" si="16"/>
        <v>32.399528052402459</v>
      </c>
      <c r="Z112" s="8"/>
      <c r="AB112">
        <f>AVERAGE(U110:U112)</f>
        <v>24.493998942186419</v>
      </c>
      <c r="AC112">
        <f>STDEV(U110:U112)</f>
        <v>1.0401023900775324</v>
      </c>
      <c r="AE112">
        <f t="shared" si="17"/>
        <v>2.4493998942186419E-2</v>
      </c>
      <c r="AG112">
        <f t="shared" si="18"/>
        <v>1.1283993408682207</v>
      </c>
      <c r="AJ112">
        <f t="shared" si="19"/>
        <v>1.880665568113701E-2</v>
      </c>
    </row>
    <row r="113" spans="6:36">
      <c r="H113" s="164" t="s">
        <v>736</v>
      </c>
      <c r="I113" s="158"/>
      <c r="J113" s="11"/>
      <c r="S113">
        <f t="shared" si="16"/>
        <v>0.16115383050571619</v>
      </c>
      <c r="T113" s="3">
        <f t="shared" si="16"/>
        <v>29.217258635420485</v>
      </c>
      <c r="U113" s="16">
        <f t="shared" si="16"/>
        <v>25.554985963627487</v>
      </c>
      <c r="V113" s="14">
        <f t="shared" si="16"/>
        <v>31.920216444932667</v>
      </c>
      <c r="W113" s="15">
        <f t="shared" si="16"/>
        <v>31.742463078237524</v>
      </c>
      <c r="Z113" s="8"/>
      <c r="AB113">
        <f>AVERAGE(U113:U115)</f>
        <v>25.063224704015624</v>
      </c>
      <c r="AC113">
        <f>STDEV(U113:U115)</f>
        <v>0.4289011066998587</v>
      </c>
      <c r="AE113">
        <f t="shared" si="17"/>
        <v>2.5063224704015626E-2</v>
      </c>
      <c r="AG113">
        <f t="shared" si="18"/>
        <v>1.1546226609544734</v>
      </c>
      <c r="AJ113">
        <f t="shared" si="19"/>
        <v>1.924371101590789E-2</v>
      </c>
    </row>
    <row r="114" spans="6:36">
      <c r="H114" s="164" t="s">
        <v>737</v>
      </c>
      <c r="I114" s="160"/>
      <c r="J114" s="11"/>
      <c r="S114" s="9">
        <f t="shared" si="16"/>
        <v>-0.19850278693193379</v>
      </c>
      <c r="T114" s="3">
        <f t="shared" si="16"/>
        <v>31.513527808291631</v>
      </c>
      <c r="U114" s="16">
        <f t="shared" si="16"/>
        <v>24.868180153789819</v>
      </c>
      <c r="V114" s="17">
        <f t="shared" si="16"/>
        <v>32.055779323813006</v>
      </c>
      <c r="W114" s="15">
        <f t="shared" si="16"/>
        <v>32.342812970421903</v>
      </c>
      <c r="Z114" s="8"/>
      <c r="AB114">
        <f>AVERAGE(U116,V109,V110)</f>
        <v>24.74967790932639</v>
      </c>
      <c r="AC114">
        <f>STDEV(U116,V109,V110)</f>
        <v>0.39060769562769371</v>
      </c>
      <c r="AE114">
        <f t="shared" si="17"/>
        <v>2.474967790932639E-2</v>
      </c>
      <c r="AG114">
        <f t="shared" si="18"/>
        <v>1.1401780617980117</v>
      </c>
      <c r="AJ114">
        <f t="shared" si="19"/>
        <v>1.9002967696633528E-2</v>
      </c>
    </row>
    <row r="115" spans="6:36">
      <c r="H115" s="164" t="s">
        <v>738</v>
      </c>
      <c r="I115" s="161"/>
      <c r="J115" s="11"/>
      <c r="S115" s="9">
        <f t="shared" si="16"/>
        <v>-0.47170348671630247</v>
      </c>
      <c r="T115" s="5">
        <f t="shared" si="16"/>
        <v>25.554985963627487</v>
      </c>
      <c r="U115" s="16">
        <f t="shared" si="16"/>
        <v>24.76650799462956</v>
      </c>
      <c r="V115" s="17">
        <f t="shared" si="16"/>
        <v>32.557915293543267</v>
      </c>
      <c r="Z115" s="8"/>
      <c r="AB115">
        <f>AVERAGE(V111:V113)</f>
        <v>31.89946702469588</v>
      </c>
      <c r="AC115">
        <f>STDEV(V111:V113)</f>
        <v>0.16834048386398548</v>
      </c>
      <c r="AE115">
        <f t="shared" si="17"/>
        <v>3.1899467024695878E-2</v>
      </c>
      <c r="AG115">
        <f t="shared" si="18"/>
        <v>1.4695574066804995</v>
      </c>
      <c r="AJ115">
        <f t="shared" si="19"/>
        <v>2.4492623444674993E-2</v>
      </c>
    </row>
    <row r="116" spans="6:36">
      <c r="H116" s="164" t="s">
        <v>739</v>
      </c>
      <c r="I116" s="163"/>
      <c r="J116" s="11"/>
      <c r="S116" s="9">
        <f t="shared" si="16"/>
        <v>-0.34098213922454135</v>
      </c>
      <c r="T116" s="5">
        <f t="shared" si="16"/>
        <v>24.517514951788112</v>
      </c>
      <c r="U116" s="12">
        <f t="shared" si="16"/>
        <v>25.191179462142479</v>
      </c>
      <c r="V116" s="17">
        <f t="shared" si="16"/>
        <v>33.118149639936526</v>
      </c>
      <c r="Z116" s="8"/>
      <c r="AB116">
        <f>AVERAGE(V114:V116)</f>
        <v>32.577281419097602</v>
      </c>
      <c r="AC116">
        <f>STDEV(V114:V116)</f>
        <v>0.53144986335433053</v>
      </c>
      <c r="AE116">
        <f t="shared" si="17"/>
        <v>3.2577281419097603E-2</v>
      </c>
      <c r="AG116">
        <f t="shared" si="18"/>
        <v>1.500783231327556</v>
      </c>
      <c r="AJ116">
        <f t="shared" si="19"/>
        <v>2.5013053855459266E-2</v>
      </c>
    </row>
    <row r="117" spans="6:36">
      <c r="H117" s="164" t="s">
        <v>740</v>
      </c>
      <c r="I117" s="162"/>
      <c r="J117" s="11"/>
      <c r="AB117">
        <f>AVERAGE(W109:W111)</f>
        <v>32.015433228908144</v>
      </c>
      <c r="AC117">
        <f>STDEV(W109:W111)</f>
        <v>0.38778189595492024</v>
      </c>
      <c r="AE117">
        <f t="shared" si="17"/>
        <v>3.2015433228908145E-2</v>
      </c>
      <c r="AG117">
        <f t="shared" si="18"/>
        <v>1.4748997841626319</v>
      </c>
      <c r="AJ117">
        <f t="shared" si="19"/>
        <v>2.4581663069377199E-2</v>
      </c>
    </row>
    <row r="118" spans="6:36">
      <c r="H118" s="164" t="s">
        <v>741</v>
      </c>
      <c r="I118" s="159"/>
      <c r="J118" s="11"/>
      <c r="R118" t="s">
        <v>43</v>
      </c>
      <c r="S118">
        <f t="shared" ref="S118:W125" si="20">785/1*S99</f>
        <v>3.2193335774441598</v>
      </c>
      <c r="T118">
        <f t="shared" si="20"/>
        <v>144.73587208592701</v>
      </c>
      <c r="U118">
        <f t="shared" si="20"/>
        <v>115.95988445420886</v>
      </c>
      <c r="V118">
        <f t="shared" si="20"/>
        <v>112.89704625900158</v>
      </c>
      <c r="W118">
        <f t="shared" si="20"/>
        <v>146.82780015460349</v>
      </c>
      <c r="AB118">
        <f>AVERAGE(W112:W114)</f>
        <v>32.16160136702063</v>
      </c>
      <c r="AC118">
        <f>STDEV(W112:W114)</f>
        <v>0.36409041318611701</v>
      </c>
      <c r="AE118">
        <f t="shared" si="17"/>
        <v>3.2161601367020627E-2</v>
      </c>
      <c r="AG118">
        <f t="shared" si="18"/>
        <v>1.4816335164164529</v>
      </c>
      <c r="AJ118">
        <f t="shared" si="19"/>
        <v>2.4693891940274215E-2</v>
      </c>
    </row>
    <row r="119" spans="6:36">
      <c r="H119" s="164" t="s">
        <v>742</v>
      </c>
      <c r="I119" s="157"/>
      <c r="J119" s="11"/>
      <c r="S119">
        <f t="shared" si="20"/>
        <v>78.793828064607993</v>
      </c>
      <c r="T119">
        <f t="shared" si="20"/>
        <v>138.73475324463971</v>
      </c>
      <c r="U119">
        <f t="shared" si="20"/>
        <v>108.48004393994873</v>
      </c>
      <c r="V119">
        <f t="shared" si="20"/>
        <v>113.63481020383254</v>
      </c>
      <c r="W119">
        <f t="shared" si="20"/>
        <v>149.90341348305463</v>
      </c>
    </row>
    <row r="120" spans="6:36">
      <c r="F120" s="11"/>
      <c r="G120" s="11"/>
      <c r="H120" s="11"/>
      <c r="I120" s="11"/>
      <c r="J120" s="11"/>
      <c r="S120">
        <f t="shared" si="20"/>
        <v>47.153016802961879</v>
      </c>
      <c r="T120">
        <f t="shared" si="20"/>
        <v>147.89771756377394</v>
      </c>
      <c r="U120">
        <f t="shared" si="20"/>
        <v>112.76610114325238</v>
      </c>
      <c r="V120">
        <f t="shared" si="20"/>
        <v>148.0254688962122</v>
      </c>
      <c r="W120">
        <f t="shared" si="20"/>
        <v>146.77669962162821</v>
      </c>
    </row>
    <row r="121" spans="6:36">
      <c r="F121" s="11"/>
      <c r="G121" s="11"/>
      <c r="H121" s="11"/>
      <c r="I121" s="11"/>
      <c r="J121" s="11"/>
      <c r="S121">
        <f t="shared" si="20"/>
        <v>22.452296676024247</v>
      </c>
      <c r="T121">
        <f t="shared" si="20"/>
        <v>140.67018593107935</v>
      </c>
      <c r="U121">
        <f t="shared" si="20"/>
        <v>118.06778143944018</v>
      </c>
      <c r="V121">
        <f t="shared" si="20"/>
        <v>146.47967777370928</v>
      </c>
      <c r="W121">
        <f t="shared" si="20"/>
        <v>149.60958541844664</v>
      </c>
    </row>
    <row r="122" spans="6:36">
      <c r="F122" s="11"/>
      <c r="G122" s="11"/>
      <c r="H122" s="11"/>
      <c r="I122" s="11"/>
      <c r="J122" s="11"/>
      <c r="S122">
        <f t="shared" si="20"/>
        <v>0.74415151145286584</v>
      </c>
      <c r="T122">
        <f t="shared" si="20"/>
        <v>134.91498840473577</v>
      </c>
      <c r="U122">
        <f t="shared" si="20"/>
        <v>118.00390577322104</v>
      </c>
      <c r="V122">
        <f t="shared" si="20"/>
        <v>147.39629358395379</v>
      </c>
      <c r="W122">
        <f t="shared" si="20"/>
        <v>146.57549127303798</v>
      </c>
      <c r="AF122" t="s">
        <v>44</v>
      </c>
      <c r="AG122">
        <f>AVERAGE(AG109:AG118)</f>
        <v>1.3339544836877009</v>
      </c>
    </row>
    <row r="123" spans="6:36">
      <c r="S123">
        <f t="shared" si="20"/>
        <v>-0.91661581024451777</v>
      </c>
      <c r="T123">
        <f t="shared" si="20"/>
        <v>145.51834899711136</v>
      </c>
      <c r="U123">
        <f t="shared" si="20"/>
        <v>114.83247894544122</v>
      </c>
      <c r="V123">
        <f t="shared" si="20"/>
        <v>148.02227511290124</v>
      </c>
      <c r="W123">
        <f t="shared" si="20"/>
        <v>149.34769518694819</v>
      </c>
    </row>
    <row r="124" spans="6:36">
      <c r="S124">
        <f t="shared" si="20"/>
        <v>-2.1781602180723381</v>
      </c>
      <c r="T124">
        <f t="shared" si="20"/>
        <v>118.00390577322104</v>
      </c>
      <c r="U124">
        <f t="shared" si="20"/>
        <v>114.36299279873062</v>
      </c>
      <c r="V124">
        <f t="shared" si="20"/>
        <v>150.34096179665568</v>
      </c>
    </row>
    <row r="125" spans="6:36">
      <c r="S125">
        <f t="shared" si="20"/>
        <v>-1.5745351723015584</v>
      </c>
      <c r="T125">
        <f t="shared" si="20"/>
        <v>113.21323080678627</v>
      </c>
      <c r="U125">
        <f t="shared" si="20"/>
        <v>116.32397575165793</v>
      </c>
      <c r="V125">
        <f t="shared" si="20"/>
        <v>152.92792627853044</v>
      </c>
    </row>
    <row r="126" spans="6:36">
      <c r="F126" s="11"/>
      <c r="G126" s="11"/>
      <c r="H126" s="11"/>
      <c r="I126" s="11"/>
      <c r="J126" s="11"/>
    </row>
    <row r="127" spans="6:36">
      <c r="F127" s="11"/>
      <c r="G127" s="11"/>
      <c r="H127" s="11"/>
      <c r="I127" s="11"/>
      <c r="J127" s="11"/>
    </row>
    <row r="128" spans="6:36">
      <c r="F128" s="11"/>
      <c r="G128" s="11"/>
      <c r="H128" s="11"/>
      <c r="I128" s="11"/>
      <c r="J128" s="11"/>
    </row>
    <row r="129" spans="4:37">
      <c r="F129" s="11"/>
      <c r="G129" s="11"/>
      <c r="H129" s="11"/>
      <c r="I129" s="11"/>
      <c r="J129" s="11"/>
    </row>
    <row r="130" spans="4:37">
      <c r="D130" s="10" t="s">
        <v>46</v>
      </c>
    </row>
    <row r="131" spans="4:37">
      <c r="D131" t="s">
        <v>11</v>
      </c>
      <c r="F131">
        <v>1</v>
      </c>
      <c r="G131">
        <v>2</v>
      </c>
      <c r="H131">
        <v>3</v>
      </c>
      <c r="I131">
        <v>4</v>
      </c>
      <c r="J131">
        <v>5</v>
      </c>
      <c r="K131">
        <v>6</v>
      </c>
      <c r="L131">
        <v>7</v>
      </c>
      <c r="M131">
        <v>8</v>
      </c>
      <c r="N131">
        <v>9</v>
      </c>
      <c r="O131">
        <v>10</v>
      </c>
      <c r="P131">
        <v>11</v>
      </c>
      <c r="R131" t="s">
        <v>12</v>
      </c>
      <c r="S131">
        <v>12</v>
      </c>
    </row>
    <row r="132" spans="4:37">
      <c r="D132" t="s">
        <v>13</v>
      </c>
      <c r="F132" s="11">
        <v>0.2883</v>
      </c>
      <c r="G132" s="11">
        <v>0.51929999999999998</v>
      </c>
      <c r="H132" s="11">
        <v>0.81830000000000003</v>
      </c>
      <c r="I132" s="11">
        <v>1.2223999999999999</v>
      </c>
      <c r="J132" s="11">
        <v>1.1848000000000001</v>
      </c>
      <c r="L132" t="s">
        <v>14</v>
      </c>
      <c r="M132" t="s">
        <v>87</v>
      </c>
      <c r="N132" t="s">
        <v>88</v>
      </c>
      <c r="O132" t="s">
        <v>89</v>
      </c>
      <c r="P132" t="s">
        <v>90</v>
      </c>
      <c r="S132">
        <f t="shared" ref="S132:W139" si="21">(F132-0.1875)/24.579</f>
        <v>4.1010618820944708E-3</v>
      </c>
      <c r="T132">
        <f t="shared" si="21"/>
        <v>1.3499328695227632E-2</v>
      </c>
      <c r="U132">
        <f t="shared" si="21"/>
        <v>2.5664184873265796E-2</v>
      </c>
      <c r="V132">
        <f t="shared" si="21"/>
        <v>4.2105049025590945E-2</v>
      </c>
      <c r="W132">
        <f t="shared" si="21"/>
        <v>4.0575287847349366E-2</v>
      </c>
    </row>
    <row r="133" spans="4:37">
      <c r="D133" t="s">
        <v>19</v>
      </c>
      <c r="E133">
        <v>0.1</v>
      </c>
      <c r="F133" s="11">
        <v>2.6545999999999998</v>
      </c>
      <c r="G133" s="11">
        <v>0.53139999999999998</v>
      </c>
      <c r="H133" s="11">
        <v>0.98409999999999997</v>
      </c>
      <c r="I133" s="11">
        <v>1.2455000000000001</v>
      </c>
      <c r="J133" s="11">
        <v>1.1811</v>
      </c>
      <c r="L133" s="11">
        <v>0.1</v>
      </c>
      <c r="M133" t="s">
        <v>91</v>
      </c>
      <c r="N133" t="s">
        <v>92</v>
      </c>
      <c r="O133" t="s">
        <v>89</v>
      </c>
      <c r="P133" t="s">
        <v>90</v>
      </c>
      <c r="S133">
        <f t="shared" si="21"/>
        <v>0.10037430326701655</v>
      </c>
      <c r="T133">
        <f t="shared" si="21"/>
        <v>1.3991618861629846E-2</v>
      </c>
      <c r="U133">
        <f t="shared" si="21"/>
        <v>3.2409780707107691E-2</v>
      </c>
      <c r="V133">
        <f t="shared" si="21"/>
        <v>4.3044875706904268E-2</v>
      </c>
      <c r="W133">
        <f t="shared" si="21"/>
        <v>4.0424752837788354E-2</v>
      </c>
    </row>
    <row r="134" spans="4:37">
      <c r="D134" t="s">
        <v>22</v>
      </c>
      <c r="E134">
        <v>0.06</v>
      </c>
      <c r="F134" s="11">
        <v>1.6638999999999999</v>
      </c>
      <c r="G134" s="11">
        <v>0.51829999999999998</v>
      </c>
      <c r="H134" s="11">
        <v>0.91830000000000001</v>
      </c>
      <c r="I134" s="11">
        <v>1.1223000000000001</v>
      </c>
      <c r="J134" s="11">
        <v>1.1832</v>
      </c>
      <c r="L134" s="11">
        <v>0.06</v>
      </c>
      <c r="M134" t="s">
        <v>87</v>
      </c>
      <c r="N134" t="s">
        <v>92</v>
      </c>
      <c r="O134" t="s">
        <v>93</v>
      </c>
      <c r="P134" t="s">
        <v>90</v>
      </c>
      <c r="S134">
        <f t="shared" si="21"/>
        <v>6.0067537328613856E-2</v>
      </c>
      <c r="T134">
        <f t="shared" si="21"/>
        <v>1.3458643557508441E-2</v>
      </c>
      <c r="U134">
        <f t="shared" si="21"/>
        <v>2.9732698645184914E-2</v>
      </c>
      <c r="V134">
        <f t="shared" si="21"/>
        <v>3.803246673989992E-2</v>
      </c>
      <c r="W134">
        <f t="shared" si="21"/>
        <v>4.0510191626998655E-2</v>
      </c>
    </row>
    <row r="135" spans="4:37">
      <c r="D135" t="s">
        <v>24</v>
      </c>
      <c r="E135">
        <v>0.03</v>
      </c>
      <c r="F135" s="11">
        <v>0.89049999999999996</v>
      </c>
      <c r="G135" s="11">
        <v>0.91920000000000002</v>
      </c>
      <c r="H135" s="11">
        <v>0.98429999999999995</v>
      </c>
      <c r="I135" s="11">
        <v>1.1738999999999999</v>
      </c>
      <c r="J135" s="11">
        <v>1.1718999999999999</v>
      </c>
      <c r="L135" s="11">
        <v>0.03</v>
      </c>
      <c r="M135" t="s">
        <v>94</v>
      </c>
      <c r="N135" t="s">
        <v>92</v>
      </c>
      <c r="O135" t="s">
        <v>93</v>
      </c>
      <c r="P135" t="s">
        <v>95</v>
      </c>
      <c r="S135">
        <f t="shared" si="21"/>
        <v>2.8601651816591397E-2</v>
      </c>
      <c r="T135">
        <f t="shared" si="21"/>
        <v>2.9769315269132186E-2</v>
      </c>
      <c r="U135">
        <f t="shared" si="21"/>
        <v>3.2417917734651532E-2</v>
      </c>
      <c r="V135">
        <f t="shared" si="21"/>
        <v>4.0131819846210177E-2</v>
      </c>
      <c r="W135">
        <f t="shared" si="21"/>
        <v>4.0050449570771793E-2</v>
      </c>
    </row>
    <row r="136" spans="4:37">
      <c r="D136" t="s">
        <v>27</v>
      </c>
      <c r="E136">
        <v>0</v>
      </c>
      <c r="F136" s="11">
        <v>0.21079999999999999</v>
      </c>
      <c r="G136" s="11">
        <v>0.91180000000000005</v>
      </c>
      <c r="H136" s="11">
        <v>1.7823</v>
      </c>
      <c r="I136" s="11">
        <v>1.1026</v>
      </c>
      <c r="J136" s="11">
        <v>1.1769000000000001</v>
      </c>
      <c r="L136" s="11">
        <v>0</v>
      </c>
      <c r="M136" t="s">
        <v>94</v>
      </c>
      <c r="N136" t="s">
        <v>96</v>
      </c>
      <c r="O136" t="s">
        <v>93</v>
      </c>
      <c r="P136" t="s">
        <v>95</v>
      </c>
      <c r="S136">
        <f t="shared" si="21"/>
        <v>9.4796370885715398E-4</v>
      </c>
      <c r="T136">
        <f t="shared" si="21"/>
        <v>2.9468245250010173E-2</v>
      </c>
      <c r="U136">
        <f t="shared" si="21"/>
        <v>6.4884657634566092E-2</v>
      </c>
      <c r="V136">
        <f t="shared" si="21"/>
        <v>3.7230969526831852E-2</v>
      </c>
      <c r="W136">
        <f t="shared" si="21"/>
        <v>4.0253875259367751E-2</v>
      </c>
    </row>
    <row r="137" spans="4:37">
      <c r="D137" t="s">
        <v>29</v>
      </c>
      <c r="F137" s="11">
        <v>0.1588</v>
      </c>
      <c r="G137" s="11">
        <v>0.94379999999999997</v>
      </c>
      <c r="H137" s="11">
        <v>1.7783</v>
      </c>
      <c r="I137" s="11">
        <v>1.9221999999999999</v>
      </c>
      <c r="J137" s="11">
        <v>1.1637</v>
      </c>
      <c r="L137" t="s">
        <v>30</v>
      </c>
      <c r="M137" t="s">
        <v>94</v>
      </c>
      <c r="N137" t="s">
        <v>96</v>
      </c>
      <c r="O137" t="s">
        <v>97</v>
      </c>
      <c r="P137" t="s">
        <v>95</v>
      </c>
      <c r="S137">
        <f t="shared" si="21"/>
        <v>-1.167663452540787E-3</v>
      </c>
      <c r="T137">
        <f t="shared" si="21"/>
        <v>3.0770169657024286E-2</v>
      </c>
      <c r="U137">
        <f t="shared" si="21"/>
        <v>6.4721917083689323E-2</v>
      </c>
      <c r="V137">
        <f t="shared" si="21"/>
        <v>7.0576508401480928E-2</v>
      </c>
      <c r="W137">
        <f t="shared" si="21"/>
        <v>3.9716831441474428E-2</v>
      </c>
    </row>
    <row r="138" spans="4:37">
      <c r="D138" t="s">
        <v>34</v>
      </c>
      <c r="F138" s="11">
        <v>0.1193</v>
      </c>
      <c r="G138" s="11">
        <v>0.88229999999999997</v>
      </c>
      <c r="H138" s="11">
        <v>1.7683</v>
      </c>
      <c r="I138" s="11">
        <v>1.948</v>
      </c>
      <c r="J138" s="11"/>
      <c r="L138" t="s">
        <v>30</v>
      </c>
      <c r="M138" t="s">
        <v>88</v>
      </c>
      <c r="N138" t="s">
        <v>96</v>
      </c>
      <c r="O138" t="s">
        <v>97</v>
      </c>
      <c r="S138">
        <f t="shared" si="21"/>
        <v>-2.7747263924488381E-3</v>
      </c>
      <c r="T138">
        <f t="shared" si="21"/>
        <v>2.8268033687294029E-2</v>
      </c>
      <c r="U138">
        <f t="shared" si="21"/>
        <v>6.4315065706497421E-2</v>
      </c>
      <c r="V138">
        <f t="shared" si="21"/>
        <v>7.1626184954636074E-2</v>
      </c>
    </row>
    <row r="139" spans="4:37">
      <c r="D139" t="s">
        <v>35</v>
      </c>
      <c r="F139" s="11">
        <v>0.13819999999999999</v>
      </c>
      <c r="G139" s="11">
        <v>0.83230000000000004</v>
      </c>
      <c r="H139" s="11">
        <v>1.2297</v>
      </c>
      <c r="I139" s="11">
        <v>1.9758</v>
      </c>
      <c r="J139" s="11"/>
      <c r="L139" t="s">
        <v>30</v>
      </c>
      <c r="M139" t="s">
        <v>88</v>
      </c>
      <c r="N139" t="s">
        <v>89</v>
      </c>
      <c r="O139" t="s">
        <v>97</v>
      </c>
      <c r="S139">
        <f t="shared" si="21"/>
        <v>-2.0057772895561254E-3</v>
      </c>
      <c r="T139">
        <f t="shared" si="21"/>
        <v>2.6233776801334475E-2</v>
      </c>
      <c r="U139">
        <f t="shared" si="21"/>
        <v>4.2402050530941045E-2</v>
      </c>
      <c r="V139">
        <f t="shared" si="21"/>
        <v>7.2757231783229584E-2</v>
      </c>
    </row>
    <row r="140" spans="4:37">
      <c r="F140" s="11"/>
      <c r="G140" s="11"/>
      <c r="H140" s="11"/>
      <c r="I140" s="11"/>
      <c r="J140" s="11"/>
      <c r="AG140" t="s">
        <v>36</v>
      </c>
    </row>
    <row r="141" spans="4:37">
      <c r="F141" s="11"/>
      <c r="G141" s="11"/>
      <c r="H141" s="11"/>
      <c r="I141" s="11"/>
      <c r="J141" s="11"/>
      <c r="R141" t="s">
        <v>37</v>
      </c>
      <c r="AB141" t="s">
        <v>38</v>
      </c>
      <c r="AC141" t="s">
        <v>39</v>
      </c>
      <c r="AE141" t="s">
        <v>40</v>
      </c>
      <c r="AG141" t="s">
        <v>102</v>
      </c>
      <c r="AJ141" t="s">
        <v>101</v>
      </c>
    </row>
    <row r="142" spans="4:37">
      <c r="F142" s="11"/>
      <c r="G142" s="11"/>
      <c r="H142" s="11"/>
      <c r="I142" s="11"/>
      <c r="J142" s="11"/>
      <c r="S142">
        <f t="shared" ref="S142:W149" si="22">170/1*S132</f>
        <v>0.69718051995606001</v>
      </c>
      <c r="T142" s="4">
        <f t="shared" si="22"/>
        <v>2.2948858781886976</v>
      </c>
      <c r="U142" s="5">
        <f t="shared" si="22"/>
        <v>4.3629114284551855</v>
      </c>
      <c r="V142" s="12">
        <f t="shared" si="22"/>
        <v>7.1578583343504603</v>
      </c>
      <c r="W142" s="13">
        <f t="shared" si="22"/>
        <v>6.8977989340493924</v>
      </c>
      <c r="AB142">
        <f>AVERAGE(T142:T144)</f>
        <v>2.3204768298140688</v>
      </c>
      <c r="AC142">
        <f>STDEV(T142:T144)</f>
        <v>5.0433376143908276E-2</v>
      </c>
      <c r="AE142">
        <f>AB142/1000</f>
        <v>2.3204768298140687E-3</v>
      </c>
      <c r="AG142">
        <f>AE142*46.0684</f>
        <v>0.10690065478660643</v>
      </c>
      <c r="AK142">
        <f>AG142/60</f>
        <v>1.7816775797767739E-3</v>
      </c>
    </row>
    <row r="143" spans="4:37">
      <c r="F143" s="11"/>
      <c r="G143" s="11"/>
      <c r="H143" s="11"/>
      <c r="I143" s="11"/>
      <c r="J143" s="11"/>
      <c r="R143" t="s">
        <v>42</v>
      </c>
      <c r="S143">
        <f t="shared" si="22"/>
        <v>17.063631555392814</v>
      </c>
      <c r="T143" s="4">
        <f t="shared" si="22"/>
        <v>2.3785752064770738</v>
      </c>
      <c r="U143" s="6">
        <f t="shared" si="22"/>
        <v>5.5096627202083077</v>
      </c>
      <c r="V143" s="12">
        <f t="shared" si="22"/>
        <v>7.3176288701737251</v>
      </c>
      <c r="W143" s="13">
        <f t="shared" si="22"/>
        <v>6.8722079824240199</v>
      </c>
      <c r="AB143">
        <f>AVERAGE(T145:T147)</f>
        <v>5.1004380433161094</v>
      </c>
      <c r="AC143">
        <f>STDEV(T145:T147)</f>
        <v>0.1158696817596887</v>
      </c>
      <c r="AE143">
        <f t="shared" ref="AE143:AE151" si="23">AB143/1000</f>
        <v>5.1004380433161091E-3</v>
      </c>
      <c r="AG143">
        <f t="shared" ref="AG143:AG151" si="24">AE143*46.0684</f>
        <v>0.23496901995470382</v>
      </c>
      <c r="AK143">
        <f t="shared" ref="AK143:AK151" si="25">AG143/60</f>
        <v>3.9161503325783973E-3</v>
      </c>
    </row>
    <row r="144" spans="4:37">
      <c r="F144" s="1" t="s">
        <v>743</v>
      </c>
      <c r="H144" s="164" t="s">
        <v>733</v>
      </c>
      <c r="I144" s="154"/>
      <c r="J144" s="11"/>
      <c r="S144">
        <f t="shared" si="22"/>
        <v>10.211481345864355</v>
      </c>
      <c r="T144" s="4">
        <f t="shared" si="22"/>
        <v>2.287969404776435</v>
      </c>
      <c r="U144" s="6">
        <f t="shared" si="22"/>
        <v>5.0545587696814351</v>
      </c>
      <c r="V144" s="14">
        <f t="shared" si="22"/>
        <v>6.4655193457829867</v>
      </c>
      <c r="W144" s="13">
        <f t="shared" si="22"/>
        <v>6.8867325765897718</v>
      </c>
      <c r="Z144" s="8"/>
      <c r="AB144">
        <f>AVERAGE(T148:T149,U142)</f>
        <v>4.5427397371740099</v>
      </c>
      <c r="AC144">
        <f>STDEV(T148:T149,U142)</f>
        <v>0.23270618438620932</v>
      </c>
      <c r="AE144">
        <f t="shared" si="23"/>
        <v>4.5427397371740098E-3</v>
      </c>
      <c r="AG144">
        <f t="shared" si="24"/>
        <v>0.20927675130802714</v>
      </c>
      <c r="AK144">
        <f t="shared" si="25"/>
        <v>3.4879458551337855E-3</v>
      </c>
    </row>
    <row r="145" spans="6:37">
      <c r="H145" s="164" t="s">
        <v>734</v>
      </c>
      <c r="I145" s="155"/>
      <c r="J145" s="11"/>
      <c r="S145">
        <f t="shared" si="22"/>
        <v>4.8622808088205378</v>
      </c>
      <c r="T145" s="3">
        <f t="shared" si="22"/>
        <v>5.0607835957524721</v>
      </c>
      <c r="U145" s="6">
        <f t="shared" si="22"/>
        <v>5.5110460148907601</v>
      </c>
      <c r="V145" s="14">
        <f t="shared" si="22"/>
        <v>6.8224093738557299</v>
      </c>
      <c r="W145" s="15">
        <f t="shared" si="22"/>
        <v>6.8085764270312046</v>
      </c>
      <c r="Z145" s="8"/>
      <c r="AB145">
        <f>AVERAGE(U143:U145)</f>
        <v>5.358422501593501</v>
      </c>
      <c r="AC145">
        <f>STDEV(U143:U145)</f>
        <v>0.26315462005195822</v>
      </c>
      <c r="AE145">
        <f t="shared" si="23"/>
        <v>5.3584225015935009E-3</v>
      </c>
      <c r="AG145">
        <f t="shared" si="24"/>
        <v>0.24685395117241002</v>
      </c>
      <c r="AK145">
        <f t="shared" si="25"/>
        <v>4.1142325195401667E-3</v>
      </c>
    </row>
    <row r="146" spans="6:37">
      <c r="H146" s="164" t="s">
        <v>735</v>
      </c>
      <c r="I146" s="156"/>
      <c r="J146" s="11"/>
      <c r="S146">
        <f t="shared" si="22"/>
        <v>0.16115383050571619</v>
      </c>
      <c r="T146" s="3">
        <f t="shared" si="22"/>
        <v>5.0096016925017297</v>
      </c>
      <c r="U146" s="16">
        <f t="shared" si="22"/>
        <v>11.030391797876236</v>
      </c>
      <c r="V146" s="14">
        <f t="shared" si="22"/>
        <v>6.3292648195614145</v>
      </c>
      <c r="W146" s="15">
        <f t="shared" si="22"/>
        <v>6.8431587940925178</v>
      </c>
      <c r="Z146" s="8"/>
      <c r="AB146">
        <f>AVERAGE(U146:U148)</f>
        <v>10.98889295740266</v>
      </c>
      <c r="AC146">
        <f>STDEV(U146:U148)</f>
        <v>4.9875399066591726E-2</v>
      </c>
      <c r="AE146">
        <f t="shared" si="23"/>
        <v>1.0988892957402661E-2</v>
      </c>
      <c r="AG146">
        <f t="shared" si="24"/>
        <v>0.50624071631880874</v>
      </c>
      <c r="AK146">
        <f t="shared" si="25"/>
        <v>8.4373452719801456E-3</v>
      </c>
    </row>
    <row r="147" spans="6:37">
      <c r="H147" s="164" t="s">
        <v>736</v>
      </c>
      <c r="I147" s="158"/>
      <c r="J147" s="11"/>
      <c r="S147" s="9">
        <f t="shared" si="22"/>
        <v>-0.19850278693193379</v>
      </c>
      <c r="T147" s="3">
        <f t="shared" si="22"/>
        <v>5.2309288416941282</v>
      </c>
      <c r="U147" s="16">
        <f t="shared" si="22"/>
        <v>11.002725904227185</v>
      </c>
      <c r="V147" s="17">
        <f t="shared" si="22"/>
        <v>11.998006428251758</v>
      </c>
      <c r="W147" s="15">
        <f t="shared" si="22"/>
        <v>6.7518613450506528</v>
      </c>
      <c r="Z147" s="8"/>
      <c r="AB147">
        <f>AVERAGE(U149,V142,V143)</f>
        <v>7.2279452649280538</v>
      </c>
      <c r="AC147">
        <f>STDEV(U149,V142,V143)</f>
        <v>8.1668098256590466E-2</v>
      </c>
      <c r="AE147">
        <f t="shared" si="23"/>
        <v>7.2279452649280538E-3</v>
      </c>
      <c r="AG147">
        <f t="shared" si="24"/>
        <v>0.33297987364281151</v>
      </c>
      <c r="AK147">
        <f t="shared" si="25"/>
        <v>5.5496645607135252E-3</v>
      </c>
    </row>
    <row r="148" spans="6:37">
      <c r="H148" s="164" t="s">
        <v>737</v>
      </c>
      <c r="I148" s="160"/>
      <c r="J148" s="11"/>
      <c r="S148" s="9">
        <f t="shared" si="22"/>
        <v>-0.47170348671630247</v>
      </c>
      <c r="T148" s="5">
        <f t="shared" si="22"/>
        <v>4.8055657268399852</v>
      </c>
      <c r="U148" s="16">
        <f t="shared" si="22"/>
        <v>10.933561170104561</v>
      </c>
      <c r="V148" s="17">
        <f t="shared" si="22"/>
        <v>12.176451442288133</v>
      </c>
      <c r="Z148" s="8"/>
      <c r="AB148">
        <f>AVERAGE(V144:V146)</f>
        <v>6.5390645130667098</v>
      </c>
      <c r="AC148">
        <f>STDEV(V144:V146)</f>
        <v>0.2546655779264797</v>
      </c>
      <c r="AE148">
        <f t="shared" si="23"/>
        <v>6.5390645130667096E-3</v>
      </c>
      <c r="AG148">
        <f t="shared" si="24"/>
        <v>0.3012442396137624</v>
      </c>
      <c r="AK148">
        <f t="shared" si="25"/>
        <v>5.0207373268960397E-3</v>
      </c>
    </row>
    <row r="149" spans="6:37">
      <c r="H149" s="164" t="s">
        <v>738</v>
      </c>
      <c r="I149" s="161"/>
      <c r="J149" s="11"/>
      <c r="S149" s="9">
        <f t="shared" si="22"/>
        <v>-0.34098213922454135</v>
      </c>
      <c r="T149" s="5">
        <f t="shared" si="22"/>
        <v>4.4597420562268608</v>
      </c>
      <c r="U149" s="12">
        <f t="shared" si="22"/>
        <v>7.2083485902599778</v>
      </c>
      <c r="V149" s="17">
        <f t="shared" si="22"/>
        <v>12.368729403149029</v>
      </c>
      <c r="Z149" s="8"/>
      <c r="AB149">
        <f>AVERAGE(V147:V149)</f>
        <v>12.181062424562972</v>
      </c>
      <c r="AC149">
        <f>STDEV(V147:V149)</f>
        <v>0.18540449535360476</v>
      </c>
      <c r="AE149">
        <f t="shared" si="23"/>
        <v>1.2181062424562973E-2</v>
      </c>
      <c r="AG149">
        <f t="shared" si="24"/>
        <v>0.5611620561997368</v>
      </c>
      <c r="AK149">
        <f t="shared" si="25"/>
        <v>9.3527009366622792E-3</v>
      </c>
    </row>
    <row r="150" spans="6:37">
      <c r="H150" s="164" t="s">
        <v>739</v>
      </c>
      <c r="I150" s="163"/>
      <c r="J150" s="11"/>
      <c r="AB150">
        <f>AVERAGE(W142:W144)</f>
        <v>6.8855798310210616</v>
      </c>
      <c r="AC150">
        <f>STDEV(W142:W144)</f>
        <v>1.2834360834598468E-2</v>
      </c>
      <c r="AE150">
        <f t="shared" si="23"/>
        <v>6.885579831021062E-3</v>
      </c>
      <c r="AG150">
        <f t="shared" si="24"/>
        <v>0.31720764588741068</v>
      </c>
      <c r="AK150">
        <f t="shared" si="25"/>
        <v>5.2867940981235111E-3</v>
      </c>
    </row>
    <row r="151" spans="6:37">
      <c r="H151" s="164" t="s">
        <v>740</v>
      </c>
      <c r="I151" s="162"/>
      <c r="J151" s="11"/>
      <c r="R151" t="s">
        <v>43</v>
      </c>
      <c r="S151">
        <f t="shared" ref="S151:W158" si="26">785/1*S132</f>
        <v>3.2193335774441598</v>
      </c>
      <c r="T151">
        <f t="shared" si="26"/>
        <v>10.596973025753691</v>
      </c>
      <c r="U151">
        <f t="shared" si="26"/>
        <v>20.14638512551365</v>
      </c>
      <c r="V151">
        <f t="shared" si="26"/>
        <v>33.052463485088893</v>
      </c>
      <c r="W151">
        <f t="shared" si="26"/>
        <v>31.851600960169254</v>
      </c>
      <c r="AB151">
        <f>AVERAGE(W145:W147)</f>
        <v>6.8011988553914584</v>
      </c>
      <c r="AC151">
        <f>STDEV(W145:W147)</f>
        <v>4.6093681485239103E-2</v>
      </c>
      <c r="AE151">
        <f t="shared" si="23"/>
        <v>6.8011988553914587E-3</v>
      </c>
      <c r="AG151">
        <f t="shared" si="24"/>
        <v>0.31332034934971587</v>
      </c>
      <c r="AK151">
        <f t="shared" si="25"/>
        <v>5.2220058224952647E-3</v>
      </c>
    </row>
    <row r="152" spans="6:37">
      <c r="H152" s="164" t="s">
        <v>741</v>
      </c>
      <c r="I152" s="159"/>
      <c r="J152" s="11"/>
      <c r="S152">
        <f t="shared" si="26"/>
        <v>78.793828064607993</v>
      </c>
      <c r="T152">
        <f t="shared" si="26"/>
        <v>10.98342080637943</v>
      </c>
      <c r="U152">
        <f t="shared" si="26"/>
        <v>25.441677855079536</v>
      </c>
      <c r="V152">
        <f t="shared" si="26"/>
        <v>33.790227429919852</v>
      </c>
      <c r="W152">
        <f t="shared" si="26"/>
        <v>31.733430977663858</v>
      </c>
    </row>
    <row r="153" spans="6:37">
      <c r="H153" s="164" t="s">
        <v>742</v>
      </c>
      <c r="I153" s="157"/>
      <c r="J153" s="11"/>
      <c r="S153">
        <f t="shared" si="26"/>
        <v>47.153016802961879</v>
      </c>
      <c r="T153">
        <f t="shared" si="26"/>
        <v>10.565035192644126</v>
      </c>
      <c r="U153">
        <f t="shared" si="26"/>
        <v>23.340168436470158</v>
      </c>
      <c r="V153">
        <f t="shared" si="26"/>
        <v>29.855486390821437</v>
      </c>
      <c r="W153">
        <f t="shared" si="26"/>
        <v>31.800500427193946</v>
      </c>
    </row>
    <row r="154" spans="6:37">
      <c r="F154" s="11"/>
      <c r="G154" s="11"/>
      <c r="H154" s="11"/>
      <c r="I154" s="11"/>
      <c r="J154" s="11"/>
      <c r="S154">
        <f t="shared" si="26"/>
        <v>22.452296676024247</v>
      </c>
      <c r="T154">
        <f t="shared" si="26"/>
        <v>23.368912486268766</v>
      </c>
      <c r="U154">
        <f t="shared" si="26"/>
        <v>25.448065421701454</v>
      </c>
      <c r="V154">
        <f t="shared" si="26"/>
        <v>31.50347857927499</v>
      </c>
      <c r="W154">
        <f t="shared" si="26"/>
        <v>31.439602913055857</v>
      </c>
    </row>
    <row r="155" spans="6:37">
      <c r="F155" s="11"/>
      <c r="G155" s="11"/>
      <c r="H155" s="11"/>
      <c r="I155" s="11"/>
      <c r="J155" s="11"/>
      <c r="S155">
        <f t="shared" si="26"/>
        <v>0.74415151145286584</v>
      </c>
      <c r="T155">
        <f t="shared" si="26"/>
        <v>23.132572521257984</v>
      </c>
      <c r="U155">
        <f t="shared" si="26"/>
        <v>50.934456243134385</v>
      </c>
      <c r="V155">
        <f t="shared" si="26"/>
        <v>29.226311078563004</v>
      </c>
      <c r="W155">
        <f t="shared" si="26"/>
        <v>31.599292078603685</v>
      </c>
    </row>
    <row r="156" spans="6:37">
      <c r="S156">
        <f t="shared" si="26"/>
        <v>-0.91661581024451777</v>
      </c>
      <c r="T156">
        <f t="shared" si="26"/>
        <v>24.154583180764064</v>
      </c>
      <c r="U156">
        <f t="shared" si="26"/>
        <v>50.806704910696119</v>
      </c>
      <c r="V156">
        <f t="shared" si="26"/>
        <v>55.40255909516253</v>
      </c>
      <c r="W156">
        <f t="shared" si="26"/>
        <v>31.177712681557427</v>
      </c>
      <c r="AF156" t="s">
        <v>44</v>
      </c>
      <c r="AG156">
        <f>AVERAGE(AG142:AG151)</f>
        <v>0.31301552582339942</v>
      </c>
    </row>
    <row r="157" spans="6:37">
      <c r="S157">
        <f t="shared" si="26"/>
        <v>-2.1781602180723381</v>
      </c>
      <c r="T157">
        <f t="shared" si="26"/>
        <v>22.190406444525813</v>
      </c>
      <c r="U157">
        <f t="shared" si="26"/>
        <v>50.487326579600477</v>
      </c>
      <c r="V157">
        <f t="shared" si="26"/>
        <v>56.226555189389316</v>
      </c>
    </row>
    <row r="158" spans="6:37">
      <c r="S158">
        <f t="shared" si="26"/>
        <v>-1.5745351723015584</v>
      </c>
      <c r="T158">
        <f t="shared" si="26"/>
        <v>20.593514789047564</v>
      </c>
      <c r="U158">
        <f t="shared" si="26"/>
        <v>33.285609666788723</v>
      </c>
      <c r="V158">
        <f t="shared" si="26"/>
        <v>57.11442694983522</v>
      </c>
    </row>
  </sheetData>
  <mergeCells count="2">
    <mergeCell ref="A3:K3"/>
    <mergeCell ref="M3:X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BG167"/>
  <sheetViews>
    <sheetView zoomScale="46" zoomScaleNormal="46" workbookViewId="0">
      <selection activeCell="A5" sqref="A5"/>
    </sheetView>
  </sheetViews>
  <sheetFormatPr defaultRowHeight="15"/>
  <cols>
    <col min="10" max="10" width="10.28515625" customWidth="1"/>
    <col min="29" max="29" width="9.140625" style="8"/>
    <col min="41" max="42" width="9.140625" style="8"/>
  </cols>
  <sheetData>
    <row r="5" spans="1:59" s="8" customFormat="1">
      <c r="A5" s="21" t="s">
        <v>9</v>
      </c>
    </row>
    <row r="6" spans="1:59" s="8" customFormat="1"/>
    <row r="7" spans="1:59" s="8" customFormat="1">
      <c r="A7" s="22"/>
      <c r="B7" s="22"/>
      <c r="AM7" s="173" t="s">
        <v>51</v>
      </c>
      <c r="AN7" s="173"/>
      <c r="AP7" s="8" t="s">
        <v>52</v>
      </c>
      <c r="AY7" s="23"/>
      <c r="BC7" s="22" t="s">
        <v>53</v>
      </c>
      <c r="BD7" s="22"/>
      <c r="BG7" s="8" t="s">
        <v>54</v>
      </c>
    </row>
    <row r="8" spans="1:59" s="8" customFormat="1">
      <c r="A8" s="22" t="s">
        <v>65</v>
      </c>
      <c r="B8" s="26" t="s">
        <v>744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146"/>
      <c r="AD8" s="26"/>
      <c r="AE8" s="26"/>
      <c r="AF8" s="26"/>
      <c r="AG8" s="26"/>
      <c r="AH8" s="26"/>
      <c r="AI8" s="26"/>
      <c r="AJ8" s="26"/>
      <c r="AM8" s="22" t="s">
        <v>57</v>
      </c>
      <c r="AN8" s="22" t="s">
        <v>58</v>
      </c>
      <c r="AP8" s="22" t="s">
        <v>59</v>
      </c>
      <c r="AY8" s="23"/>
      <c r="BC8" s="22" t="s">
        <v>60</v>
      </c>
      <c r="BD8" s="22" t="s">
        <v>61</v>
      </c>
    </row>
    <row r="9" spans="1:59" s="8" customFormat="1">
      <c r="A9" s="22" t="s">
        <v>62</v>
      </c>
      <c r="B9" s="22">
        <v>1</v>
      </c>
      <c r="C9" s="22">
        <v>2</v>
      </c>
      <c r="D9" s="22">
        <v>3</v>
      </c>
      <c r="E9" s="22">
        <v>4</v>
      </c>
      <c r="F9" s="22">
        <v>5</v>
      </c>
      <c r="G9" s="22">
        <v>6</v>
      </c>
      <c r="H9" s="22">
        <v>7</v>
      </c>
      <c r="I9" s="22">
        <v>8</v>
      </c>
      <c r="J9" s="22">
        <v>9</v>
      </c>
      <c r="K9" s="22">
        <v>10</v>
      </c>
      <c r="L9" s="22">
        <v>11</v>
      </c>
      <c r="M9" s="22">
        <v>12</v>
      </c>
      <c r="N9" s="22">
        <v>13</v>
      </c>
      <c r="O9" s="22">
        <v>14</v>
      </c>
      <c r="P9" s="22">
        <v>15</v>
      </c>
      <c r="Q9" s="22">
        <v>16</v>
      </c>
      <c r="R9" s="22">
        <v>17</v>
      </c>
      <c r="S9" s="22">
        <v>18</v>
      </c>
      <c r="T9" s="22">
        <v>19</v>
      </c>
      <c r="U9" s="22">
        <v>20</v>
      </c>
      <c r="V9" s="22">
        <v>21</v>
      </c>
      <c r="W9" s="22">
        <v>22</v>
      </c>
      <c r="X9" s="22">
        <v>23</v>
      </c>
      <c r="Y9" s="22">
        <v>24</v>
      </c>
      <c r="Z9" s="22">
        <v>25</v>
      </c>
      <c r="AA9" s="22">
        <v>26</v>
      </c>
      <c r="AB9" s="22">
        <v>27</v>
      </c>
      <c r="AC9" s="22">
        <v>28</v>
      </c>
      <c r="AD9" s="22">
        <v>29</v>
      </c>
      <c r="AE9" s="22">
        <v>30</v>
      </c>
      <c r="AF9" s="22">
        <v>31</v>
      </c>
      <c r="AG9" s="22">
        <v>32</v>
      </c>
      <c r="AH9" s="22">
        <v>33</v>
      </c>
      <c r="AI9" s="22">
        <v>34</v>
      </c>
      <c r="AJ9" s="22">
        <v>35</v>
      </c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4"/>
    </row>
    <row r="10" spans="1:59" s="8" customFormat="1">
      <c r="A10" s="22">
        <v>1</v>
      </c>
      <c r="B10" s="8">
        <v>8.5</v>
      </c>
      <c r="C10" s="8">
        <v>6.8</v>
      </c>
      <c r="D10" s="8">
        <v>8.1999999999999993</v>
      </c>
      <c r="E10" s="8">
        <v>6</v>
      </c>
      <c r="F10" s="8">
        <v>11.2</v>
      </c>
      <c r="G10" s="8">
        <v>12.7</v>
      </c>
      <c r="H10" s="8">
        <v>12.7</v>
      </c>
      <c r="I10" s="8">
        <v>10.6</v>
      </c>
      <c r="J10" s="8">
        <v>12.7</v>
      </c>
      <c r="K10" s="8">
        <v>11.5</v>
      </c>
      <c r="L10" s="8">
        <v>12.6</v>
      </c>
      <c r="M10" s="8">
        <v>16.399999999999999</v>
      </c>
      <c r="N10" s="8">
        <v>12.6</v>
      </c>
      <c r="O10" s="8">
        <v>11.7</v>
      </c>
      <c r="P10" s="8">
        <v>10.5</v>
      </c>
      <c r="Q10" s="8">
        <v>10.7</v>
      </c>
      <c r="R10" s="8">
        <v>12.4</v>
      </c>
      <c r="S10" s="8">
        <v>9.5</v>
      </c>
      <c r="T10" s="8">
        <v>9.3000000000000007</v>
      </c>
      <c r="U10" s="8">
        <v>13.1</v>
      </c>
      <c r="V10" s="8">
        <v>12.7</v>
      </c>
      <c r="W10" s="8">
        <v>11.6</v>
      </c>
      <c r="X10" s="8">
        <v>12.7</v>
      </c>
      <c r="Y10" s="8">
        <v>12.9</v>
      </c>
      <c r="Z10" s="8">
        <v>12.1</v>
      </c>
      <c r="AA10" s="8">
        <v>11.6</v>
      </c>
      <c r="AB10" s="8">
        <v>10.7</v>
      </c>
      <c r="AC10" s="8">
        <v>10.7</v>
      </c>
      <c r="AD10" s="8">
        <v>12.4</v>
      </c>
      <c r="AE10" s="8">
        <v>12.7</v>
      </c>
      <c r="AF10" s="8">
        <v>11.3</v>
      </c>
      <c r="AG10" s="8">
        <v>10.7</v>
      </c>
      <c r="AH10" s="8">
        <v>12.3</v>
      </c>
      <c r="AI10" s="8">
        <v>11.7</v>
      </c>
      <c r="AJ10" s="8">
        <v>12.5</v>
      </c>
      <c r="AM10" s="8">
        <f t="shared" ref="AM10:AM19" si="0">AVERAGE(C10:AJ10)</f>
        <v>11.46470588235294</v>
      </c>
      <c r="AN10" s="8">
        <f t="shared" ref="AN10:AN19" si="1">STDEV(C10:AJ10)</f>
        <v>1.9056347630822084</v>
      </c>
      <c r="AP10" s="8">
        <f>AM10*789*0.52/1000</f>
        <v>4.7037395294117639</v>
      </c>
      <c r="AR10" s="8" t="s">
        <v>63</v>
      </c>
      <c r="AY10" s="25">
        <f>AP10*1000/789*AM10</f>
        <v>68.348530103806212</v>
      </c>
      <c r="BC10" s="8">
        <v>2.0257142857142854</v>
      </c>
      <c r="BD10" s="8">
        <v>0.95311960151384811</v>
      </c>
      <c r="BG10" s="8">
        <f>BC10/AM10</f>
        <v>0.17669134354614088</v>
      </c>
    </row>
    <row r="11" spans="1:59" s="8" customFormat="1">
      <c r="A11" s="22">
        <v>2</v>
      </c>
      <c r="B11" s="8">
        <v>11.3</v>
      </c>
      <c r="C11" s="8">
        <v>10.6</v>
      </c>
      <c r="D11" s="8">
        <v>12.6</v>
      </c>
      <c r="E11" s="8">
        <v>12.3</v>
      </c>
      <c r="F11" s="8">
        <v>10.9</v>
      </c>
      <c r="G11" s="8">
        <v>11.6</v>
      </c>
      <c r="H11" s="8">
        <v>10.7</v>
      </c>
      <c r="I11" s="8">
        <v>12.6</v>
      </c>
      <c r="J11" s="8">
        <v>11.9</v>
      </c>
      <c r="K11" s="8">
        <v>12.4</v>
      </c>
      <c r="L11" s="8">
        <v>12.6</v>
      </c>
      <c r="M11" s="8">
        <v>12.5</v>
      </c>
      <c r="N11" s="8">
        <v>11.9</v>
      </c>
      <c r="O11" s="8">
        <v>11.3</v>
      </c>
      <c r="P11" s="8">
        <v>12.3</v>
      </c>
      <c r="Q11" s="8">
        <v>10.9</v>
      </c>
      <c r="R11" s="8">
        <v>9.6</v>
      </c>
      <c r="S11" s="8">
        <v>8.5</v>
      </c>
      <c r="T11" s="8">
        <v>12.5</v>
      </c>
      <c r="U11" s="8">
        <v>11.5</v>
      </c>
      <c r="V11" s="8">
        <v>14.2</v>
      </c>
      <c r="W11" s="8">
        <v>12.4</v>
      </c>
      <c r="X11" s="8">
        <v>12.6</v>
      </c>
      <c r="Y11" s="8">
        <v>12.6</v>
      </c>
      <c r="Z11" s="8">
        <v>10.9</v>
      </c>
      <c r="AA11" s="8">
        <v>11.5</v>
      </c>
      <c r="AB11" s="8">
        <v>10.6</v>
      </c>
      <c r="AC11" s="8">
        <v>10.9</v>
      </c>
      <c r="AD11" s="8">
        <v>11.4</v>
      </c>
      <c r="AE11" s="8">
        <v>10.9</v>
      </c>
      <c r="AF11" s="8">
        <v>12.6</v>
      </c>
      <c r="AG11" s="8">
        <v>12.5</v>
      </c>
      <c r="AH11" s="8">
        <v>11.2</v>
      </c>
      <c r="AI11" s="8">
        <v>10.9</v>
      </c>
      <c r="AJ11" s="8">
        <v>12.5</v>
      </c>
      <c r="AM11" s="8">
        <f t="shared" si="0"/>
        <v>11.673529411764704</v>
      </c>
      <c r="AN11" s="8">
        <f t="shared" si="1"/>
        <v>1.0720438773046141</v>
      </c>
      <c r="AP11" s="8">
        <f t="shared" ref="AP11:AP19" si="2">AM11*789*0.52/1000</f>
        <v>4.7894156470588225</v>
      </c>
      <c r="AR11" s="8" t="s">
        <v>64</v>
      </c>
      <c r="AY11" s="25">
        <f t="shared" ref="AY11:AY19" si="3">AP11*1000/789*AM11</f>
        <v>70.861070242214495</v>
      </c>
      <c r="BC11" s="8">
        <v>2.694285714285714</v>
      </c>
      <c r="BD11" s="8">
        <v>0.8210262076288718</v>
      </c>
      <c r="BG11" s="8">
        <f t="shared" ref="BG11:BG19" si="4">BC11/AM11</f>
        <v>0.23080300903430157</v>
      </c>
    </row>
    <row r="12" spans="1:59" s="8" customFormat="1">
      <c r="A12" s="22">
        <v>3</v>
      </c>
      <c r="B12" s="8">
        <v>11.6</v>
      </c>
      <c r="C12" s="8">
        <v>12.6</v>
      </c>
      <c r="D12" s="8">
        <v>10.8</v>
      </c>
      <c r="E12" s="8">
        <v>11.4</v>
      </c>
      <c r="F12" s="8">
        <v>12.6</v>
      </c>
      <c r="G12" s="8">
        <v>11.5</v>
      </c>
      <c r="H12" s="8">
        <v>11.4</v>
      </c>
      <c r="I12" s="8">
        <v>10.7</v>
      </c>
      <c r="J12" s="8">
        <v>12.6</v>
      </c>
      <c r="K12" s="8">
        <v>12.1</v>
      </c>
      <c r="L12" s="8">
        <v>10.9</v>
      </c>
      <c r="M12" s="8">
        <v>9.6</v>
      </c>
      <c r="N12" s="8">
        <v>9.3000000000000007</v>
      </c>
      <c r="O12" s="8">
        <v>10.3</v>
      </c>
      <c r="P12" s="8">
        <v>11.7</v>
      </c>
      <c r="Q12" s="8">
        <v>10.3</v>
      </c>
      <c r="R12" s="8">
        <v>11.5</v>
      </c>
      <c r="S12" s="8">
        <v>11.6</v>
      </c>
      <c r="T12" s="8">
        <v>9.6999999999999993</v>
      </c>
      <c r="U12" s="8">
        <v>8.6999999999999993</v>
      </c>
      <c r="V12" s="8">
        <v>9.3000000000000007</v>
      </c>
      <c r="W12" s="8">
        <v>10.9</v>
      </c>
      <c r="X12" s="8">
        <v>11.6</v>
      </c>
      <c r="Y12" s="8">
        <v>10.9</v>
      </c>
      <c r="Z12" s="8">
        <v>13.6</v>
      </c>
      <c r="AA12" s="8">
        <v>12.3</v>
      </c>
      <c r="AB12" s="8">
        <v>10.4</v>
      </c>
      <c r="AC12" s="8">
        <v>12.1</v>
      </c>
      <c r="AD12" s="8">
        <v>12.6</v>
      </c>
      <c r="AE12" s="8">
        <v>11.3</v>
      </c>
      <c r="AF12" s="8">
        <v>12.7</v>
      </c>
      <c r="AG12" s="8">
        <v>12.9</v>
      </c>
      <c r="AH12" s="8">
        <v>11.6</v>
      </c>
      <c r="AI12" s="8">
        <v>14.46</v>
      </c>
      <c r="AJ12" s="8">
        <v>12.1</v>
      </c>
      <c r="AM12" s="8">
        <f t="shared" si="0"/>
        <v>11.413529411764708</v>
      </c>
      <c r="AN12" s="8">
        <f t="shared" si="1"/>
        <v>1.2753772640969137</v>
      </c>
      <c r="AP12" s="8">
        <f t="shared" si="2"/>
        <v>4.682742847058825</v>
      </c>
      <c r="AY12" s="25">
        <f t="shared" si="3"/>
        <v>67.739699889273382</v>
      </c>
      <c r="BC12" s="8">
        <v>2.5714285714285712</v>
      </c>
      <c r="BD12" s="8">
        <v>0.64787954062438546</v>
      </c>
      <c r="BG12" s="8">
        <f t="shared" si="4"/>
        <v>0.22529652999168015</v>
      </c>
    </row>
    <row r="13" spans="1:59" s="8" customFormat="1">
      <c r="A13" s="22">
        <v>4</v>
      </c>
      <c r="B13" s="8">
        <v>10.5</v>
      </c>
      <c r="C13" s="8">
        <v>11.3</v>
      </c>
      <c r="D13" s="8">
        <v>12.6</v>
      </c>
      <c r="E13" s="8">
        <v>12.4</v>
      </c>
      <c r="F13" s="8">
        <v>11.6</v>
      </c>
      <c r="G13" s="8">
        <v>11.7</v>
      </c>
      <c r="H13" s="8">
        <v>11.6</v>
      </c>
      <c r="I13" s="8">
        <v>10.6</v>
      </c>
      <c r="J13" s="8">
        <v>10.5</v>
      </c>
      <c r="K13" s="8">
        <v>10.199999999999999</v>
      </c>
      <c r="L13" s="8">
        <v>11.2</v>
      </c>
      <c r="M13" s="8">
        <v>12.5</v>
      </c>
      <c r="N13" s="8">
        <v>12.6</v>
      </c>
      <c r="O13" s="8">
        <v>12.9</v>
      </c>
      <c r="P13" s="8">
        <v>12.3</v>
      </c>
      <c r="Q13" s="8">
        <v>10.5</v>
      </c>
      <c r="R13" s="8">
        <v>9.1</v>
      </c>
      <c r="S13" s="8">
        <v>9.5</v>
      </c>
      <c r="T13" s="8">
        <v>10.3</v>
      </c>
      <c r="U13" s="8">
        <v>10.3</v>
      </c>
      <c r="V13" s="8">
        <v>10.7</v>
      </c>
      <c r="W13" s="8">
        <v>6.3</v>
      </c>
      <c r="X13" s="8">
        <v>10.4</v>
      </c>
      <c r="Y13" s="8">
        <v>11.4</v>
      </c>
      <c r="Z13" s="8">
        <v>10.4</v>
      </c>
      <c r="AA13" s="8">
        <v>10.7</v>
      </c>
      <c r="AB13" s="8">
        <v>12.7</v>
      </c>
      <c r="AC13" s="8">
        <v>12.7</v>
      </c>
      <c r="AD13" s="8">
        <v>12.9</v>
      </c>
      <c r="AE13" s="8">
        <v>13.6</v>
      </c>
      <c r="AF13" s="8">
        <v>13.7</v>
      </c>
      <c r="AG13" s="8">
        <v>14.3</v>
      </c>
      <c r="AH13" s="8">
        <v>12.7</v>
      </c>
      <c r="AI13" s="8">
        <v>12.1</v>
      </c>
      <c r="AJ13" s="8">
        <v>11.6</v>
      </c>
      <c r="AM13" s="8">
        <f t="shared" si="0"/>
        <v>11.46764705882353</v>
      </c>
      <c r="AN13" s="8">
        <f t="shared" si="1"/>
        <v>1.5434555069585723</v>
      </c>
      <c r="AP13" s="8">
        <f t="shared" si="2"/>
        <v>4.704946235294118</v>
      </c>
      <c r="AY13" s="25">
        <f t="shared" si="3"/>
        <v>68.383603114186869</v>
      </c>
      <c r="BC13" s="8">
        <v>2.5685714285714289</v>
      </c>
      <c r="BD13" s="8">
        <v>0.63467056233062424</v>
      </c>
      <c r="BG13" s="8">
        <f t="shared" si="4"/>
        <v>0.22398417176565422</v>
      </c>
    </row>
    <row r="14" spans="1:59" s="8" customFormat="1">
      <c r="A14" s="22">
        <v>5</v>
      </c>
      <c r="B14" s="8">
        <v>8.9</v>
      </c>
      <c r="C14" s="8">
        <v>10.199999999999999</v>
      </c>
      <c r="D14" s="8">
        <v>11.6</v>
      </c>
      <c r="E14" s="8">
        <v>12.5</v>
      </c>
      <c r="F14" s="8">
        <v>12.5</v>
      </c>
      <c r="G14" s="8">
        <v>10.9</v>
      </c>
      <c r="H14" s="8">
        <v>11.6</v>
      </c>
      <c r="I14" s="8">
        <v>13.6</v>
      </c>
      <c r="J14" s="8">
        <v>10.9</v>
      </c>
      <c r="K14" s="8">
        <v>12.4</v>
      </c>
      <c r="L14" s="8">
        <v>11.3</v>
      </c>
      <c r="M14" s="8">
        <v>11.6</v>
      </c>
      <c r="N14" s="8">
        <v>12.6</v>
      </c>
      <c r="O14" s="8">
        <v>10.7</v>
      </c>
      <c r="P14" s="8">
        <v>10.6</v>
      </c>
      <c r="Q14" s="8">
        <v>10.9</v>
      </c>
      <c r="R14" s="8">
        <v>11.4</v>
      </c>
      <c r="S14" s="8">
        <v>11.6</v>
      </c>
      <c r="T14" s="8">
        <v>12.5</v>
      </c>
      <c r="U14" s="8">
        <v>12.7</v>
      </c>
      <c r="V14" s="8">
        <v>12.1</v>
      </c>
      <c r="W14" s="8">
        <v>11.9</v>
      </c>
      <c r="X14" s="8">
        <v>12.3</v>
      </c>
      <c r="Y14" s="8">
        <v>10.6</v>
      </c>
      <c r="Z14" s="8">
        <v>10.7</v>
      </c>
      <c r="AA14" s="8">
        <v>12.5</v>
      </c>
      <c r="AB14" s="8">
        <v>11.2</v>
      </c>
      <c r="AC14" s="8">
        <v>10.9</v>
      </c>
      <c r="AD14" s="8">
        <v>12.5</v>
      </c>
      <c r="AE14" s="8">
        <v>10.6</v>
      </c>
      <c r="AF14" s="8">
        <v>10.6</v>
      </c>
      <c r="AG14" s="8">
        <v>11.3</v>
      </c>
      <c r="AH14" s="8">
        <v>12.6</v>
      </c>
      <c r="AI14" s="8">
        <v>12.1</v>
      </c>
      <c r="AJ14" s="8">
        <v>12.6</v>
      </c>
      <c r="AM14" s="8">
        <f t="shared" si="0"/>
        <v>11.664705882352944</v>
      </c>
      <c r="AN14" s="8">
        <f t="shared" si="1"/>
        <v>0.84848612172046067</v>
      </c>
      <c r="AP14" s="8">
        <f t="shared" si="2"/>
        <v>4.7857955294117653</v>
      </c>
      <c r="AY14" s="25">
        <f t="shared" si="3"/>
        <v>70.753988927335669</v>
      </c>
      <c r="BC14" s="8">
        <v>2.334285714285715</v>
      </c>
      <c r="BD14" s="8">
        <v>0.65840397805551298</v>
      </c>
      <c r="BG14" s="8">
        <f t="shared" si="4"/>
        <v>0.20011526547078742</v>
      </c>
    </row>
    <row r="15" spans="1:59" s="8" customFormat="1">
      <c r="A15" s="22">
        <v>6</v>
      </c>
      <c r="B15" s="8">
        <v>12.9</v>
      </c>
      <c r="C15" s="8">
        <v>10.6</v>
      </c>
      <c r="D15" s="8">
        <v>10.4</v>
      </c>
      <c r="E15" s="8">
        <v>12.4</v>
      </c>
      <c r="F15" s="8">
        <v>12.6</v>
      </c>
      <c r="G15" s="8">
        <v>13.6</v>
      </c>
      <c r="H15" s="8">
        <v>12.1</v>
      </c>
      <c r="I15" s="8">
        <v>10.199999999999999</v>
      </c>
      <c r="J15" s="8">
        <v>14.23</v>
      </c>
      <c r="K15" s="8">
        <v>12.46</v>
      </c>
      <c r="L15" s="8">
        <v>12.12</v>
      </c>
      <c r="M15" s="8">
        <v>14.6</v>
      </c>
      <c r="N15" s="8">
        <v>12.1</v>
      </c>
      <c r="O15" s="8">
        <v>11.4</v>
      </c>
      <c r="P15" s="8">
        <v>13.6</v>
      </c>
      <c r="Q15" s="8">
        <v>12.1</v>
      </c>
      <c r="R15" s="8">
        <v>10.6</v>
      </c>
      <c r="S15" s="8">
        <v>10.4</v>
      </c>
      <c r="T15" s="8">
        <v>11.1</v>
      </c>
      <c r="U15" s="8">
        <v>12.6</v>
      </c>
      <c r="V15" s="8">
        <v>12.4</v>
      </c>
      <c r="W15" s="8">
        <v>12.5</v>
      </c>
      <c r="X15" s="8">
        <v>12</v>
      </c>
      <c r="Y15" s="8">
        <v>12.9</v>
      </c>
      <c r="Z15" s="8">
        <v>12.6</v>
      </c>
      <c r="AA15" s="8">
        <v>12.6</v>
      </c>
      <c r="AB15" s="8">
        <v>12.5</v>
      </c>
      <c r="AC15" s="8">
        <v>11.2</v>
      </c>
      <c r="AD15" s="8">
        <v>12.4</v>
      </c>
      <c r="AE15" s="8">
        <v>12.44</v>
      </c>
      <c r="AF15" s="8">
        <v>12.1</v>
      </c>
      <c r="AG15" s="8">
        <v>12.5</v>
      </c>
      <c r="AH15" s="8">
        <v>11.5</v>
      </c>
      <c r="AI15" s="8">
        <v>12.1</v>
      </c>
      <c r="AJ15" s="8">
        <v>12.6</v>
      </c>
      <c r="AM15" s="8">
        <f t="shared" si="0"/>
        <v>12.16323529411765</v>
      </c>
      <c r="AN15" s="8">
        <f t="shared" si="1"/>
        <v>1.0239043533344232</v>
      </c>
      <c r="AP15" s="8">
        <f t="shared" si="2"/>
        <v>4.9903321764705897</v>
      </c>
      <c r="AY15" s="25">
        <f t="shared" si="3"/>
        <v>76.93103226643602</v>
      </c>
      <c r="BC15" s="8">
        <v>2.6199999999999992</v>
      </c>
      <c r="BD15" s="8">
        <v>0.61729962216853462</v>
      </c>
      <c r="BG15" s="8">
        <f t="shared" si="4"/>
        <v>0.21540321605609952</v>
      </c>
    </row>
    <row r="16" spans="1:59" s="8" customFormat="1">
      <c r="A16" s="22">
        <v>7</v>
      </c>
      <c r="B16" s="8">
        <v>11.6</v>
      </c>
      <c r="C16" s="8">
        <v>12.4</v>
      </c>
      <c r="D16" s="8">
        <v>12.3</v>
      </c>
      <c r="E16" s="8">
        <v>12.8</v>
      </c>
      <c r="F16" s="8">
        <v>12.6</v>
      </c>
      <c r="G16" s="8">
        <v>11.2</v>
      </c>
      <c r="H16" s="8">
        <v>11.5</v>
      </c>
      <c r="I16" s="8">
        <v>9.5</v>
      </c>
      <c r="J16" s="8">
        <v>11.6</v>
      </c>
      <c r="K16" s="8">
        <v>12.6</v>
      </c>
      <c r="L16" s="8">
        <v>12.9</v>
      </c>
      <c r="M16" s="8">
        <v>11.3</v>
      </c>
      <c r="N16" s="8">
        <v>10.6</v>
      </c>
      <c r="O16" s="8">
        <v>9.8000000000000007</v>
      </c>
      <c r="P16" s="8">
        <v>9.1999999999999993</v>
      </c>
      <c r="Q16" s="8">
        <v>10.5</v>
      </c>
      <c r="R16" s="8">
        <v>10.6</v>
      </c>
      <c r="S16" s="8">
        <v>12.3</v>
      </c>
      <c r="T16" s="8">
        <v>12.6</v>
      </c>
      <c r="U16" s="8">
        <v>11.7</v>
      </c>
      <c r="V16" s="8">
        <v>12.8</v>
      </c>
      <c r="W16" s="8">
        <v>12.1</v>
      </c>
      <c r="X16" s="8">
        <v>11.4</v>
      </c>
      <c r="Y16" s="8">
        <v>11.9</v>
      </c>
      <c r="Z16" s="8">
        <v>12.3</v>
      </c>
      <c r="AA16" s="8">
        <v>14.3</v>
      </c>
      <c r="AB16" s="8">
        <v>12.4</v>
      </c>
      <c r="AC16" s="8">
        <v>13.6</v>
      </c>
      <c r="AD16" s="8">
        <v>12.5</v>
      </c>
      <c r="AE16" s="8">
        <v>14.9</v>
      </c>
      <c r="AF16" s="8">
        <v>12.5</v>
      </c>
      <c r="AG16" s="8">
        <v>10.9</v>
      </c>
      <c r="AH16" s="8">
        <v>9.5</v>
      </c>
      <c r="AI16" s="8">
        <v>11.4</v>
      </c>
      <c r="AJ16" s="8">
        <v>12.6</v>
      </c>
      <c r="AM16" s="8">
        <f t="shared" si="0"/>
        <v>11.855882352941176</v>
      </c>
      <c r="AN16" s="8">
        <f t="shared" si="1"/>
        <v>1.2922123796902067</v>
      </c>
      <c r="AP16" s="8">
        <f t="shared" si="2"/>
        <v>4.8642314117647052</v>
      </c>
      <c r="AY16" s="25">
        <f t="shared" si="3"/>
        <v>73.092212110726635</v>
      </c>
      <c r="BC16" s="8">
        <v>2.5285714285714289</v>
      </c>
      <c r="BD16" s="8">
        <v>0.74658888150252478</v>
      </c>
      <c r="BG16" s="8">
        <f t="shared" si="4"/>
        <v>0.2132756848708226</v>
      </c>
    </row>
    <row r="17" spans="1:59" s="8" customFormat="1">
      <c r="A17" s="22">
        <v>8</v>
      </c>
      <c r="B17" s="8">
        <v>9.1999999999999993</v>
      </c>
      <c r="C17" s="8">
        <v>12.5</v>
      </c>
      <c r="D17" s="8">
        <v>10.9</v>
      </c>
      <c r="E17" s="8">
        <v>11.4</v>
      </c>
      <c r="F17" s="8">
        <v>12.1</v>
      </c>
      <c r="G17" s="8">
        <v>10.5</v>
      </c>
      <c r="H17" s="8">
        <v>11.6</v>
      </c>
      <c r="I17" s="8">
        <v>12.3</v>
      </c>
      <c r="J17" s="8">
        <v>12.7</v>
      </c>
      <c r="K17" s="8">
        <v>12.4</v>
      </c>
      <c r="L17" s="8">
        <v>10.6</v>
      </c>
      <c r="M17" s="8">
        <v>11.6</v>
      </c>
      <c r="N17" s="8">
        <v>10.9</v>
      </c>
      <c r="O17" s="8">
        <v>12.1</v>
      </c>
      <c r="P17" s="8">
        <v>12.5</v>
      </c>
      <c r="Q17" s="8">
        <v>13.2</v>
      </c>
      <c r="R17" s="8">
        <v>12.6</v>
      </c>
      <c r="S17" s="8">
        <v>13.4</v>
      </c>
      <c r="T17" s="8">
        <v>13.7</v>
      </c>
      <c r="U17" s="8">
        <v>9.6999999999999993</v>
      </c>
      <c r="V17" s="8">
        <v>9.4</v>
      </c>
      <c r="W17" s="8">
        <v>12.5</v>
      </c>
      <c r="X17" s="8">
        <v>12.4</v>
      </c>
      <c r="Y17" s="8">
        <v>11.5</v>
      </c>
      <c r="Z17" s="8">
        <v>12.7</v>
      </c>
      <c r="AA17" s="8">
        <v>11.3</v>
      </c>
      <c r="AB17" s="8">
        <v>12.8</v>
      </c>
      <c r="AC17" s="8">
        <v>10.5</v>
      </c>
      <c r="AD17" s="8">
        <v>10.7</v>
      </c>
      <c r="AE17" s="8">
        <v>12.4</v>
      </c>
      <c r="AF17" s="8">
        <v>12.1</v>
      </c>
      <c r="AG17" s="8">
        <v>11.9</v>
      </c>
      <c r="AH17" s="8">
        <v>12.5</v>
      </c>
      <c r="AI17" s="8">
        <v>11.4</v>
      </c>
      <c r="AJ17" s="8">
        <v>12.7</v>
      </c>
      <c r="AM17" s="8">
        <f t="shared" si="0"/>
        <v>11.867647058823525</v>
      </c>
      <c r="AN17" s="8">
        <f t="shared" si="1"/>
        <v>1.0176385582779957</v>
      </c>
      <c r="AP17" s="8">
        <f t="shared" si="2"/>
        <v>4.8690582352941165</v>
      </c>
      <c r="AY17" s="25">
        <f t="shared" si="3"/>
        <v>73.237344290657404</v>
      </c>
      <c r="BC17" s="8">
        <v>2.4191428571428566</v>
      </c>
      <c r="BD17" s="8">
        <v>0.72213071746688906</v>
      </c>
      <c r="BG17" s="8">
        <f t="shared" si="4"/>
        <v>0.20384351212604002</v>
      </c>
    </row>
    <row r="18" spans="1:59" s="8" customFormat="1">
      <c r="A18" s="22">
        <v>9</v>
      </c>
      <c r="B18" s="8">
        <v>9.5</v>
      </c>
      <c r="C18" s="8">
        <v>10.6</v>
      </c>
      <c r="D18" s="8">
        <v>10.199999999999999</v>
      </c>
      <c r="E18" s="8">
        <v>12.3</v>
      </c>
      <c r="F18" s="8">
        <v>12.6</v>
      </c>
      <c r="G18" s="8">
        <v>11.4</v>
      </c>
      <c r="H18" s="8">
        <v>12.7</v>
      </c>
      <c r="I18" s="8">
        <v>10.9</v>
      </c>
      <c r="J18" s="8">
        <v>10.3</v>
      </c>
      <c r="K18" s="8">
        <v>11.2</v>
      </c>
      <c r="L18" s="8">
        <v>10.9</v>
      </c>
      <c r="M18" s="8">
        <v>12.5</v>
      </c>
      <c r="N18" s="8">
        <v>10.8</v>
      </c>
      <c r="O18" s="8">
        <v>12.4</v>
      </c>
      <c r="P18" s="8">
        <v>10.4</v>
      </c>
      <c r="Q18" s="8">
        <v>13.6</v>
      </c>
      <c r="R18" s="8">
        <v>12.3</v>
      </c>
      <c r="S18" s="8">
        <v>10.6</v>
      </c>
      <c r="T18" s="8">
        <v>14.3</v>
      </c>
      <c r="U18" s="8">
        <v>12.6</v>
      </c>
      <c r="V18" s="8">
        <v>12.7</v>
      </c>
      <c r="W18" s="8">
        <v>11.9</v>
      </c>
      <c r="X18" s="8">
        <v>12.5</v>
      </c>
      <c r="Y18" s="8">
        <v>12.1</v>
      </c>
      <c r="Z18" s="8">
        <v>11.6</v>
      </c>
      <c r="AA18" s="8">
        <v>12.6</v>
      </c>
      <c r="AB18" s="8">
        <v>16</v>
      </c>
      <c r="AC18" s="8">
        <v>12.6</v>
      </c>
      <c r="AD18" s="8">
        <v>12.5</v>
      </c>
      <c r="AE18" s="8">
        <v>12.7</v>
      </c>
      <c r="AF18" s="8">
        <v>12.4</v>
      </c>
      <c r="AG18" s="8">
        <v>12.6</v>
      </c>
      <c r="AH18" s="8">
        <v>10.6</v>
      </c>
      <c r="AI18" s="8">
        <v>10.6</v>
      </c>
      <c r="AJ18" s="8">
        <v>10.6</v>
      </c>
      <c r="AM18" s="8">
        <f t="shared" si="0"/>
        <v>11.95882352941177</v>
      </c>
      <c r="AN18" s="8">
        <f t="shared" si="1"/>
        <v>1.2533875666196508</v>
      </c>
      <c r="AP18" s="8">
        <f t="shared" si="2"/>
        <v>4.9064661176470619</v>
      </c>
      <c r="AY18" s="25">
        <f t="shared" si="3"/>
        <v>74.366999307958551</v>
      </c>
      <c r="BC18" s="8">
        <v>2.3028571428571425</v>
      </c>
      <c r="BD18" s="8">
        <v>0.61714985990424875</v>
      </c>
      <c r="BG18" s="8">
        <f t="shared" si="4"/>
        <v>0.19256552596444371</v>
      </c>
    </row>
    <row r="19" spans="1:59" s="8" customFormat="1">
      <c r="A19" s="22">
        <v>10</v>
      </c>
      <c r="B19" s="8">
        <v>10.5</v>
      </c>
      <c r="C19" s="8">
        <v>11.3</v>
      </c>
      <c r="D19" s="8">
        <v>12.6</v>
      </c>
      <c r="E19" s="8">
        <v>12.6</v>
      </c>
      <c r="F19" s="8">
        <v>11.2</v>
      </c>
      <c r="G19" s="8">
        <v>12.1</v>
      </c>
      <c r="H19" s="8">
        <v>10.9</v>
      </c>
      <c r="I19" s="8">
        <v>10.6</v>
      </c>
      <c r="J19" s="8">
        <v>10.4</v>
      </c>
      <c r="K19" s="8">
        <v>12.4</v>
      </c>
      <c r="L19" s="8">
        <v>15</v>
      </c>
      <c r="M19" s="8">
        <v>12.6</v>
      </c>
      <c r="N19" s="8">
        <v>14.6</v>
      </c>
      <c r="O19" s="8">
        <v>12.1</v>
      </c>
      <c r="P19" s="8">
        <v>12.5</v>
      </c>
      <c r="Q19" s="8">
        <v>13.6</v>
      </c>
      <c r="R19" s="8">
        <v>14.2</v>
      </c>
      <c r="S19" s="8">
        <v>13.1</v>
      </c>
      <c r="T19" s="8">
        <v>12.6</v>
      </c>
      <c r="U19" s="8">
        <v>12.6</v>
      </c>
      <c r="V19" s="8">
        <v>11.71</v>
      </c>
      <c r="W19" s="8">
        <v>9.6</v>
      </c>
      <c r="X19" s="8">
        <v>9.4</v>
      </c>
      <c r="Y19" s="8">
        <v>9.6999999999999993</v>
      </c>
      <c r="Z19" s="8">
        <v>12.3</v>
      </c>
      <c r="AA19" s="8">
        <v>12.6</v>
      </c>
      <c r="AB19" s="8">
        <v>11.4</v>
      </c>
      <c r="AC19" s="8">
        <v>12.5</v>
      </c>
      <c r="AD19" s="8">
        <v>10.6</v>
      </c>
      <c r="AE19" s="8">
        <v>10.199999999999999</v>
      </c>
      <c r="AF19" s="8">
        <v>10.199999999999999</v>
      </c>
      <c r="AG19" s="8">
        <v>12.1</v>
      </c>
      <c r="AH19" s="8">
        <v>21.5</v>
      </c>
      <c r="AI19" s="8">
        <v>12.4</v>
      </c>
      <c r="AJ19" s="8">
        <v>14.3</v>
      </c>
      <c r="AM19" s="8">
        <f t="shared" si="0"/>
        <v>12.279705882352941</v>
      </c>
      <c r="AN19" s="8">
        <f t="shared" si="1"/>
        <v>2.1595741517563205</v>
      </c>
      <c r="AP19" s="8">
        <f t="shared" si="2"/>
        <v>5.0381177294117645</v>
      </c>
      <c r="AY19" s="25">
        <f t="shared" si="3"/>
        <v>78.411411809688559</v>
      </c>
      <c r="BC19" s="8">
        <v>2.5114285714285716</v>
      </c>
      <c r="BD19" s="8">
        <v>0.6618918645338786</v>
      </c>
      <c r="BG19" s="8">
        <f t="shared" si="4"/>
        <v>0.20451862573009374</v>
      </c>
    </row>
    <row r="20" spans="1:59" s="8" customFormat="1">
      <c r="J20" s="22"/>
      <c r="BG20" s="25"/>
    </row>
    <row r="22" spans="1:59">
      <c r="A22" s="10" t="s">
        <v>47</v>
      </c>
    </row>
    <row r="23" spans="1:59">
      <c r="A23" t="s">
        <v>11</v>
      </c>
      <c r="C23">
        <v>1</v>
      </c>
      <c r="D23">
        <v>2</v>
      </c>
      <c r="E23">
        <v>3</v>
      </c>
      <c r="F23">
        <v>4</v>
      </c>
      <c r="G23">
        <v>5</v>
      </c>
      <c r="H23">
        <v>6</v>
      </c>
      <c r="I23">
        <v>7</v>
      </c>
      <c r="J23">
        <v>8</v>
      </c>
      <c r="K23">
        <v>9</v>
      </c>
      <c r="L23">
        <v>10</v>
      </c>
      <c r="M23">
        <v>11</v>
      </c>
      <c r="O23" t="s">
        <v>12</v>
      </c>
      <c r="P23">
        <v>12</v>
      </c>
    </row>
    <row r="24" spans="1:59">
      <c r="A24" t="s">
        <v>13</v>
      </c>
      <c r="C24" s="11">
        <v>0.2883</v>
      </c>
      <c r="D24" s="11">
        <v>0.49519999999999997</v>
      </c>
      <c r="E24" s="11">
        <v>0.33579999999999999</v>
      </c>
      <c r="F24" s="11">
        <v>0.35901</v>
      </c>
      <c r="G24" s="11">
        <v>0.41982000000000003</v>
      </c>
      <c r="I24" t="s">
        <v>14</v>
      </c>
      <c r="J24" t="s">
        <v>15</v>
      </c>
      <c r="K24" t="s">
        <v>16</v>
      </c>
      <c r="L24" t="s">
        <v>17</v>
      </c>
      <c r="M24" t="s">
        <v>18</v>
      </c>
      <c r="P24">
        <f t="shared" ref="P24:T31" si="5">(C24-0.1875)/24.579</f>
        <v>4.1010618820944708E-3</v>
      </c>
      <c r="Q24">
        <f t="shared" si="5"/>
        <v>1.2518816876195124E-2</v>
      </c>
      <c r="R24">
        <f t="shared" si="5"/>
        <v>6.0336059237560509E-3</v>
      </c>
      <c r="S24">
        <f t="shared" si="5"/>
        <v>6.9779079702184787E-3</v>
      </c>
      <c r="T24">
        <f t="shared" si="5"/>
        <v>9.4519711949224948E-3</v>
      </c>
    </row>
    <row r="25" spans="1:59">
      <c r="A25" t="s">
        <v>19</v>
      </c>
      <c r="B25">
        <v>0.1</v>
      </c>
      <c r="C25" s="11">
        <v>2.6545999999999998</v>
      </c>
      <c r="D25" s="11">
        <v>0.44950000000000001</v>
      </c>
      <c r="E25" s="11">
        <v>0.58489999999999998</v>
      </c>
      <c r="F25" s="11">
        <v>0.34864000000000001</v>
      </c>
      <c r="G25" s="11">
        <v>0.43391999999999997</v>
      </c>
      <c r="I25" s="11">
        <v>0.1</v>
      </c>
      <c r="J25" t="s">
        <v>15</v>
      </c>
      <c r="K25" t="s">
        <v>20</v>
      </c>
      <c r="L25" t="s">
        <v>17</v>
      </c>
      <c r="M25" t="s">
        <v>21</v>
      </c>
      <c r="P25">
        <f t="shared" si="5"/>
        <v>0.10037430326701655</v>
      </c>
      <c r="Q25">
        <f t="shared" si="5"/>
        <v>1.065950608242809E-2</v>
      </c>
      <c r="R25">
        <f t="shared" si="5"/>
        <v>1.6168273729606573E-2</v>
      </c>
      <c r="S25">
        <f t="shared" si="5"/>
        <v>6.5560030920704671E-3</v>
      </c>
      <c r="T25">
        <f t="shared" si="5"/>
        <v>1.0025631636763089E-2</v>
      </c>
    </row>
    <row r="26" spans="1:59">
      <c r="A26" t="s">
        <v>22</v>
      </c>
      <c r="B26">
        <v>0.06</v>
      </c>
      <c r="C26" s="11">
        <v>1.6638999999999999</v>
      </c>
      <c r="D26" s="11">
        <v>0.59319999999999995</v>
      </c>
      <c r="E26" s="11">
        <v>0.54949999999999999</v>
      </c>
      <c r="F26" s="11">
        <v>0.50912000000000002</v>
      </c>
      <c r="G26" s="11">
        <v>0.42809999999999998</v>
      </c>
      <c r="I26" s="11">
        <v>0.06</v>
      </c>
      <c r="J26" t="s">
        <v>15</v>
      </c>
      <c r="K26" t="s">
        <v>20</v>
      </c>
      <c r="L26" t="s">
        <v>23</v>
      </c>
      <c r="M26" t="s">
        <v>18</v>
      </c>
      <c r="P26">
        <f t="shared" si="5"/>
        <v>6.0067537328613856E-2</v>
      </c>
      <c r="Q26">
        <f t="shared" si="5"/>
        <v>1.6505960372675859E-2</v>
      </c>
      <c r="R26">
        <f t="shared" si="5"/>
        <v>1.4728019854347206E-2</v>
      </c>
      <c r="S26">
        <f t="shared" si="5"/>
        <v>1.3085153993246267E-2</v>
      </c>
      <c r="T26">
        <f t="shared" si="5"/>
        <v>9.7888441352373973E-3</v>
      </c>
    </row>
    <row r="27" spans="1:59">
      <c r="A27" t="s">
        <v>24</v>
      </c>
      <c r="B27">
        <v>0.03</v>
      </c>
      <c r="C27" s="11">
        <v>0.89049999999999996</v>
      </c>
      <c r="D27" s="11">
        <v>0.59109999999999996</v>
      </c>
      <c r="E27" s="11">
        <v>0.53920000000000001</v>
      </c>
      <c r="F27" s="11">
        <v>0.58489999999999998</v>
      </c>
      <c r="G27" s="11">
        <v>0.68440000000000001</v>
      </c>
      <c r="I27" s="11">
        <v>0.03</v>
      </c>
      <c r="J27" t="s">
        <v>25</v>
      </c>
      <c r="K27" t="s">
        <v>20</v>
      </c>
      <c r="L27" t="s">
        <v>23</v>
      </c>
      <c r="M27" t="s">
        <v>26</v>
      </c>
      <c r="P27">
        <f t="shared" si="5"/>
        <v>2.8601651816591397E-2</v>
      </c>
      <c r="Q27">
        <f t="shared" si="5"/>
        <v>1.6420521583465558E-2</v>
      </c>
      <c r="R27">
        <f t="shared" si="5"/>
        <v>1.4308962935839538E-2</v>
      </c>
      <c r="S27">
        <f t="shared" si="5"/>
        <v>1.6168273729606573E-2</v>
      </c>
      <c r="T27">
        <f t="shared" si="5"/>
        <v>2.0216444932666097E-2</v>
      </c>
    </row>
    <row r="28" spans="1:59">
      <c r="A28" t="s">
        <v>27</v>
      </c>
      <c r="B28">
        <v>0</v>
      </c>
      <c r="C28" s="11">
        <v>0.21079999999999999</v>
      </c>
      <c r="D28" s="11">
        <v>0.51092000000000004</v>
      </c>
      <c r="E28" s="11">
        <v>0.69220000000000004</v>
      </c>
      <c r="F28" s="11">
        <v>0.55883000000000005</v>
      </c>
      <c r="G28" s="11">
        <v>0.66834000000000005</v>
      </c>
      <c r="I28" s="11">
        <v>0</v>
      </c>
      <c r="J28" t="s">
        <v>25</v>
      </c>
      <c r="K28" t="s">
        <v>28</v>
      </c>
      <c r="L28" t="s">
        <v>23</v>
      </c>
      <c r="M28" t="s">
        <v>26</v>
      </c>
      <c r="P28">
        <f t="shared" si="5"/>
        <v>9.4796370885715398E-4</v>
      </c>
      <c r="Q28">
        <f t="shared" si="5"/>
        <v>1.3158387241140813E-2</v>
      </c>
      <c r="R28">
        <f t="shared" si="5"/>
        <v>2.0533789006875788E-2</v>
      </c>
      <c r="S28">
        <f t="shared" si="5"/>
        <v>1.5107612189267263E-2</v>
      </c>
      <c r="T28">
        <f t="shared" si="5"/>
        <v>1.9563041620895887E-2</v>
      </c>
    </row>
    <row r="29" spans="1:59">
      <c r="A29" t="s">
        <v>29</v>
      </c>
      <c r="C29" s="11">
        <v>0.3291</v>
      </c>
      <c r="D29" s="11">
        <v>0.55293000000000003</v>
      </c>
      <c r="E29" s="11">
        <v>0.61822999999999995</v>
      </c>
      <c r="F29" s="11">
        <v>0.45229999999999998</v>
      </c>
      <c r="G29" s="11">
        <v>0.68211999999999995</v>
      </c>
      <c r="I29" t="s">
        <v>30</v>
      </c>
      <c r="J29" t="s">
        <v>31</v>
      </c>
      <c r="K29" t="s">
        <v>28</v>
      </c>
      <c r="L29" t="s">
        <v>32</v>
      </c>
      <c r="M29" t="s">
        <v>33</v>
      </c>
      <c r="P29">
        <f t="shared" si="5"/>
        <v>5.7610155010374706E-3</v>
      </c>
      <c r="Q29">
        <f t="shared" si="5"/>
        <v>1.4867569876724034E-2</v>
      </c>
      <c r="R29">
        <f t="shared" si="5"/>
        <v>1.7524309369787213E-2</v>
      </c>
      <c r="S29">
        <f t="shared" si="5"/>
        <v>1.0773424468041823E-2</v>
      </c>
      <c r="T29">
        <f t="shared" si="5"/>
        <v>2.012368281866634E-2</v>
      </c>
    </row>
    <row r="30" spans="1:59">
      <c r="A30" t="s">
        <v>34</v>
      </c>
      <c r="C30" s="11">
        <v>0.2671</v>
      </c>
      <c r="D30" s="11">
        <v>0.31940000000000002</v>
      </c>
      <c r="E30" s="11">
        <v>0.69945000000000002</v>
      </c>
      <c r="F30" s="11">
        <v>0.4511</v>
      </c>
      <c r="G30" s="11"/>
      <c r="I30" t="s">
        <v>30</v>
      </c>
      <c r="J30" t="s">
        <v>16</v>
      </c>
      <c r="K30" t="s">
        <v>28</v>
      </c>
      <c r="L30" t="s">
        <v>32</v>
      </c>
      <c r="P30">
        <f t="shared" si="5"/>
        <v>3.2385369624476179E-3</v>
      </c>
      <c r="Q30">
        <f t="shared" si="5"/>
        <v>5.3663696651613168E-3</v>
      </c>
      <c r="R30">
        <f t="shared" si="5"/>
        <v>2.0828756255339923E-2</v>
      </c>
      <c r="S30">
        <f t="shared" si="5"/>
        <v>1.0724602302778795E-2</v>
      </c>
    </row>
    <row r="31" spans="1:59">
      <c r="A31" t="s">
        <v>35</v>
      </c>
      <c r="C31" s="11">
        <v>0.31469999999999998</v>
      </c>
      <c r="D31" s="11">
        <v>0.35920000000000002</v>
      </c>
      <c r="E31" s="11">
        <v>0.35909999999999997</v>
      </c>
      <c r="F31" s="11">
        <v>0.45889999999999997</v>
      </c>
      <c r="G31" s="11"/>
      <c r="I31" t="s">
        <v>30</v>
      </c>
      <c r="J31" t="s">
        <v>16</v>
      </c>
      <c r="K31" t="s">
        <v>17</v>
      </c>
      <c r="L31" t="s">
        <v>32</v>
      </c>
      <c r="P31">
        <f t="shared" si="5"/>
        <v>5.1751495178811169E-3</v>
      </c>
      <c r="Q31">
        <f t="shared" si="5"/>
        <v>6.985638146385126E-3</v>
      </c>
      <c r="R31">
        <f t="shared" si="5"/>
        <v>6.9815696326132048E-3</v>
      </c>
      <c r="S31">
        <f t="shared" si="5"/>
        <v>1.1041946376988484E-2</v>
      </c>
    </row>
    <row r="32" spans="1:59">
      <c r="C32" s="11"/>
      <c r="D32" s="11"/>
      <c r="E32" s="11"/>
      <c r="F32" s="11"/>
      <c r="G32" s="11"/>
      <c r="AC32" s="8" t="s">
        <v>36</v>
      </c>
    </row>
    <row r="33" spans="3:29">
      <c r="C33" s="11"/>
      <c r="D33" s="11"/>
      <c r="E33" s="11"/>
      <c r="F33" s="11"/>
      <c r="G33" s="11"/>
      <c r="O33" t="s">
        <v>37</v>
      </c>
      <c r="Y33" t="s">
        <v>38</v>
      </c>
      <c r="Z33" t="s">
        <v>39</v>
      </c>
      <c r="AB33" t="s">
        <v>40</v>
      </c>
      <c r="AC33" s="8" t="s">
        <v>41</v>
      </c>
    </row>
    <row r="34" spans="3:29">
      <c r="C34" s="11"/>
      <c r="D34" s="11"/>
      <c r="E34" s="11"/>
      <c r="F34" s="11"/>
      <c r="G34" s="1" t="s">
        <v>743</v>
      </c>
      <c r="I34" s="164" t="s">
        <v>733</v>
      </c>
      <c r="J34" s="154"/>
      <c r="P34">
        <f t="shared" ref="P34:T41" si="6">170/1*P24</f>
        <v>0.69718051995606001</v>
      </c>
      <c r="Q34" s="4">
        <f t="shared" si="6"/>
        <v>2.128198868953171</v>
      </c>
      <c r="R34" s="5">
        <f t="shared" si="6"/>
        <v>1.0257130070385287</v>
      </c>
      <c r="S34" s="12">
        <f t="shared" si="6"/>
        <v>1.1862443549371413</v>
      </c>
      <c r="T34" s="13">
        <f t="shared" si="6"/>
        <v>1.6068351031368242</v>
      </c>
      <c r="Y34">
        <f>AVERAGE(Q34:Q36)</f>
        <v>2.2487760554402807</v>
      </c>
      <c r="Z34">
        <f>STDEV(Q34:Q36)</f>
        <v>0.5078012101692414</v>
      </c>
      <c r="AB34">
        <f>Y34/1000</f>
        <v>2.2487760554402809E-3</v>
      </c>
      <c r="AC34" s="8">
        <f>AB34*46.0684</f>
        <v>0.10359751483244503</v>
      </c>
    </row>
    <row r="35" spans="3:29">
      <c r="C35" s="11"/>
      <c r="D35" s="11"/>
      <c r="E35" s="11"/>
      <c r="F35" s="11"/>
      <c r="I35" s="164" t="s">
        <v>734</v>
      </c>
      <c r="J35" s="155"/>
      <c r="O35" t="s">
        <v>42</v>
      </c>
      <c r="P35">
        <f t="shared" si="6"/>
        <v>17.063631555392814</v>
      </c>
      <c r="Q35" s="4">
        <f t="shared" si="6"/>
        <v>1.8121160340127753</v>
      </c>
      <c r="R35" s="6">
        <f t="shared" si="6"/>
        <v>2.7486065340331174</v>
      </c>
      <c r="S35" s="12">
        <f t="shared" si="6"/>
        <v>1.1145205256519795</v>
      </c>
      <c r="T35" s="13">
        <f t="shared" si="6"/>
        <v>1.704357378249725</v>
      </c>
      <c r="Y35">
        <f>AVERAGE(Q37:Q39)</f>
        <v>2.5186337930753897</v>
      </c>
      <c r="Z35">
        <f>STDEV(Q37:Q39)</f>
        <v>0.27738739737980928</v>
      </c>
      <c r="AB35">
        <f t="shared" ref="AB35:AB43" si="7">Y35/1000</f>
        <v>2.5186337930753898E-3</v>
      </c>
      <c r="AC35" s="8">
        <f t="shared" ref="AC35:AC43" si="8">AB35*46.0684</f>
        <v>0.11602942903291429</v>
      </c>
    </row>
    <row r="36" spans="3:29">
      <c r="C36" s="11"/>
      <c r="D36" s="11"/>
      <c r="E36" s="11"/>
      <c r="F36" s="11"/>
      <c r="I36" s="164" t="s">
        <v>735</v>
      </c>
      <c r="J36" s="156"/>
      <c r="P36">
        <f t="shared" si="6"/>
        <v>10.211481345864355</v>
      </c>
      <c r="Q36" s="4">
        <f t="shared" si="6"/>
        <v>2.8060132633548962</v>
      </c>
      <c r="R36" s="6">
        <f t="shared" si="6"/>
        <v>2.5037633752390249</v>
      </c>
      <c r="S36" s="14">
        <f t="shared" si="6"/>
        <v>2.2244761788518654</v>
      </c>
      <c r="T36" s="13">
        <f t="shared" si="6"/>
        <v>1.6641035029903575</v>
      </c>
      <c r="W36" s="8"/>
      <c r="Y36">
        <f>AVERAGE(Q40:Q41,R34)</f>
        <v>1.0418514450004748</v>
      </c>
      <c r="Z36">
        <f>STDEV(Q40:Q41,R34)</f>
        <v>0.13834560574191299</v>
      </c>
      <c r="AB36">
        <f t="shared" si="7"/>
        <v>1.0418514450004747E-3</v>
      </c>
      <c r="AC36" s="8">
        <f t="shared" si="8"/>
        <v>4.7996429108859866E-2</v>
      </c>
    </row>
    <row r="37" spans="3:29">
      <c r="C37" s="11"/>
      <c r="D37" s="11"/>
      <c r="E37" s="11"/>
      <c r="F37" s="11"/>
      <c r="I37" s="164" t="s">
        <v>736</v>
      </c>
      <c r="J37" s="158"/>
      <c r="P37">
        <f t="shared" si="6"/>
        <v>4.8622808088205378</v>
      </c>
      <c r="Q37" s="3">
        <f t="shared" si="6"/>
        <v>2.7914886691891447</v>
      </c>
      <c r="R37" s="6">
        <f t="shared" si="6"/>
        <v>2.4325236990927213</v>
      </c>
      <c r="S37" s="14">
        <f t="shared" si="6"/>
        <v>2.7486065340331174</v>
      </c>
      <c r="T37" s="15">
        <f t="shared" si="6"/>
        <v>3.4367956385532366</v>
      </c>
      <c r="W37" s="8"/>
      <c r="Y37">
        <f>AVERAGE(R35:R37)</f>
        <v>2.5616312027882877</v>
      </c>
      <c r="Z37">
        <f>STDEV(R35:R37)</f>
        <v>0.165796874925141</v>
      </c>
      <c r="AB37">
        <f t="shared" si="7"/>
        <v>2.5616312027882879E-3</v>
      </c>
      <c r="AC37" s="8">
        <f t="shared" si="8"/>
        <v>0.11801025090253195</v>
      </c>
    </row>
    <row r="38" spans="3:29">
      <c r="C38" s="11"/>
      <c r="D38" s="11"/>
      <c r="E38" s="11"/>
      <c r="F38" s="11"/>
      <c r="I38" s="164" t="s">
        <v>737</v>
      </c>
      <c r="J38" s="160"/>
      <c r="P38" s="8">
        <f t="shared" si="6"/>
        <v>0.16115383050571619</v>
      </c>
      <c r="Q38" s="3">
        <f t="shared" si="6"/>
        <v>2.2369258309939384</v>
      </c>
      <c r="R38" s="16">
        <f t="shared" si="6"/>
        <v>3.490744131168884</v>
      </c>
      <c r="S38" s="14">
        <f t="shared" si="6"/>
        <v>2.5682940721754348</v>
      </c>
      <c r="T38" s="15">
        <f t="shared" si="6"/>
        <v>3.3257170755523009</v>
      </c>
      <c r="W38" s="8"/>
      <c r="Y38">
        <f>AVERAGE(R38:R40)</f>
        <v>3.3369217624801659</v>
      </c>
      <c r="Z38">
        <f>STDEV(R38:R40)</f>
        <v>0.31086722799645949</v>
      </c>
      <c r="AB38">
        <f t="shared" si="7"/>
        <v>3.3369217624801659E-3</v>
      </c>
      <c r="AC38" s="8">
        <f t="shared" si="8"/>
        <v>0.15372664652264126</v>
      </c>
    </row>
    <row r="39" spans="3:29">
      <c r="C39" s="11"/>
      <c r="D39" s="11"/>
      <c r="E39" s="11"/>
      <c r="F39" s="11"/>
      <c r="I39" s="164" t="s">
        <v>738</v>
      </c>
      <c r="J39" s="161"/>
      <c r="P39" s="8">
        <f t="shared" si="6"/>
        <v>0.97937263517636997</v>
      </c>
      <c r="Q39" s="3">
        <f t="shared" si="6"/>
        <v>2.527486879043086</v>
      </c>
      <c r="R39" s="16">
        <f t="shared" si="6"/>
        <v>2.9791325928638264</v>
      </c>
      <c r="S39" s="17">
        <f t="shared" si="6"/>
        <v>1.8314821595671098</v>
      </c>
      <c r="T39" s="15">
        <f t="shared" si="6"/>
        <v>3.4210260791732776</v>
      </c>
      <c r="W39" s="8"/>
      <c r="Y39">
        <f>AVERAGE(R41,S34,S35)</f>
        <v>1.1625439060444551</v>
      </c>
      <c r="Z39">
        <f>STDEV(R41,S34,S35)</f>
        <v>4.1590631990742269E-2</v>
      </c>
      <c r="AB39">
        <f t="shared" si="7"/>
        <v>1.1625439060444552E-3</v>
      </c>
      <c r="AC39" s="8">
        <f t="shared" si="8"/>
        <v>5.3556537681218375E-2</v>
      </c>
    </row>
    <row r="40" spans="3:29">
      <c r="C40" s="11"/>
      <c r="D40" s="11"/>
      <c r="E40" s="11"/>
      <c r="F40" s="11"/>
      <c r="I40" s="164" t="s">
        <v>739</v>
      </c>
      <c r="J40" s="163"/>
      <c r="P40" s="8">
        <f t="shared" si="6"/>
        <v>0.55055128361609507</v>
      </c>
      <c r="Q40" s="5">
        <f t="shared" si="6"/>
        <v>0.91228284307742391</v>
      </c>
      <c r="R40" s="16">
        <f t="shared" si="6"/>
        <v>3.5408885634077869</v>
      </c>
      <c r="S40" s="17">
        <f t="shared" si="6"/>
        <v>1.823182391472395</v>
      </c>
      <c r="W40" s="8"/>
      <c r="Y40">
        <f>AVERAGE(S36:S38)</f>
        <v>2.513792261686806</v>
      </c>
      <c r="Z40">
        <f>STDEV(S36:S38)</f>
        <v>0.26628179212163594</v>
      </c>
      <c r="AB40">
        <f t="shared" si="7"/>
        <v>2.5137922616868058E-3</v>
      </c>
      <c r="AC40" s="8">
        <f t="shared" si="8"/>
        <v>0.11580638742829244</v>
      </c>
    </row>
    <row r="41" spans="3:29">
      <c r="C41" s="11"/>
      <c r="D41" s="11"/>
      <c r="E41" s="11"/>
      <c r="F41" s="11"/>
      <c r="I41" s="164" t="s">
        <v>740</v>
      </c>
      <c r="J41" s="162"/>
      <c r="P41" s="8">
        <f t="shared" si="6"/>
        <v>0.87977541803978987</v>
      </c>
      <c r="Q41" s="5">
        <f t="shared" si="6"/>
        <v>1.1875584848854714</v>
      </c>
      <c r="R41" s="12">
        <f t="shared" si="6"/>
        <v>1.1868668375442448</v>
      </c>
      <c r="S41" s="17">
        <f t="shared" si="6"/>
        <v>1.8771308840880423</v>
      </c>
      <c r="W41" s="8"/>
      <c r="Y41">
        <f>AVERAGE(S39:S41)</f>
        <v>1.8439318117091823</v>
      </c>
      <c r="Z41">
        <f>STDEV(S39:S41)</f>
        <v>2.9049188331502416E-2</v>
      </c>
      <c r="AB41">
        <f t="shared" si="7"/>
        <v>1.8439318117091823E-3</v>
      </c>
      <c r="AC41" s="8">
        <f t="shared" si="8"/>
        <v>8.4946988274543292E-2</v>
      </c>
    </row>
    <row r="42" spans="3:29">
      <c r="C42" s="11"/>
      <c r="D42" s="11"/>
      <c r="E42" s="11"/>
      <c r="F42" s="11"/>
      <c r="I42" s="164" t="s">
        <v>741</v>
      </c>
      <c r="J42" s="159"/>
      <c r="P42" s="8"/>
      <c r="Y42">
        <f>AVERAGE(T34:T36)</f>
        <v>1.6584319947923023</v>
      </c>
      <c r="Z42">
        <f>STDEV(T34:T36)</f>
        <v>4.9007887525678279E-2</v>
      </c>
      <c r="AB42">
        <f t="shared" si="7"/>
        <v>1.6584319947923023E-3</v>
      </c>
      <c r="AC42" s="8">
        <f t="shared" si="8"/>
        <v>7.6401308508889695E-2</v>
      </c>
    </row>
    <row r="43" spans="3:29">
      <c r="C43" s="11"/>
      <c r="D43" s="11"/>
      <c r="E43" s="11"/>
      <c r="F43" s="11"/>
      <c r="I43" s="164" t="s">
        <v>742</v>
      </c>
      <c r="J43" s="157"/>
      <c r="O43" t="s">
        <v>43</v>
      </c>
      <c r="P43">
        <f t="shared" ref="P43:T50" si="9">785/1*P24</f>
        <v>3.2193335774441598</v>
      </c>
      <c r="Q43">
        <f t="shared" si="9"/>
        <v>9.8272712478131723</v>
      </c>
      <c r="R43">
        <f t="shared" si="9"/>
        <v>4.7363806501485</v>
      </c>
      <c r="S43">
        <f t="shared" si="9"/>
        <v>5.4776577566215057</v>
      </c>
      <c r="T43">
        <f t="shared" si="9"/>
        <v>7.4197973880141586</v>
      </c>
      <c r="Y43">
        <f>AVERAGE(T37:T39)</f>
        <v>3.3945129310929385</v>
      </c>
      <c r="Z43">
        <f>STDEV(T37:T39)</f>
        <v>6.0098436380955085E-2</v>
      </c>
      <c r="AB43">
        <f t="shared" si="7"/>
        <v>3.3945129310929386E-3</v>
      </c>
      <c r="AC43" s="8">
        <f t="shared" si="8"/>
        <v>0.15637977951476192</v>
      </c>
    </row>
    <row r="44" spans="3:29">
      <c r="C44" s="11"/>
      <c r="D44" s="11"/>
      <c r="E44" s="11"/>
      <c r="F44" s="11"/>
      <c r="G44" s="11"/>
      <c r="P44">
        <f t="shared" si="9"/>
        <v>78.793828064607993</v>
      </c>
      <c r="Q44">
        <f t="shared" si="9"/>
        <v>8.3677122747060508</v>
      </c>
      <c r="R44">
        <f t="shared" si="9"/>
        <v>12.692094877741161</v>
      </c>
      <c r="S44">
        <f t="shared" si="9"/>
        <v>5.146462427275317</v>
      </c>
      <c r="T44">
        <f t="shared" si="9"/>
        <v>7.8701208348590246</v>
      </c>
    </row>
    <row r="45" spans="3:29">
      <c r="C45" s="11"/>
      <c r="D45" s="11"/>
      <c r="E45" s="11"/>
      <c r="F45" s="11"/>
      <c r="G45" s="11"/>
      <c r="P45">
        <f t="shared" si="9"/>
        <v>47.153016802961879</v>
      </c>
      <c r="Q45">
        <f t="shared" si="9"/>
        <v>12.95717889255055</v>
      </c>
      <c r="R45">
        <f t="shared" si="9"/>
        <v>11.561495585662557</v>
      </c>
      <c r="S45">
        <f t="shared" si="9"/>
        <v>10.271845884698319</v>
      </c>
      <c r="T45">
        <f t="shared" si="9"/>
        <v>7.6842426461613567</v>
      </c>
      <c r="AA45" t="s">
        <v>44</v>
      </c>
      <c r="AC45" s="8">
        <f>AVERAGE(AC34:AC43)</f>
        <v>0.10264512718070981</v>
      </c>
    </row>
    <row r="46" spans="3:29">
      <c r="C46" s="11"/>
      <c r="D46" s="11"/>
      <c r="E46" s="11"/>
      <c r="F46" s="11"/>
      <c r="G46" s="11"/>
      <c r="P46">
        <f t="shared" si="9"/>
        <v>22.452296676024247</v>
      </c>
      <c r="Q46">
        <f t="shared" si="9"/>
        <v>12.890109443020462</v>
      </c>
      <c r="R46">
        <f t="shared" si="9"/>
        <v>11.232535904634037</v>
      </c>
      <c r="S46">
        <f t="shared" si="9"/>
        <v>12.692094877741161</v>
      </c>
      <c r="T46">
        <f t="shared" si="9"/>
        <v>15.869909272142886</v>
      </c>
    </row>
    <row r="47" spans="3:29">
      <c r="C47" s="11"/>
      <c r="D47" s="11"/>
      <c r="E47" s="11"/>
      <c r="F47" s="11"/>
      <c r="G47" s="11"/>
      <c r="P47">
        <f t="shared" si="9"/>
        <v>0.74415151145286584</v>
      </c>
      <c r="Q47">
        <f t="shared" si="9"/>
        <v>10.329333984295538</v>
      </c>
      <c r="R47">
        <f t="shared" si="9"/>
        <v>16.119024370397494</v>
      </c>
      <c r="S47">
        <f t="shared" si="9"/>
        <v>11.859475568574801</v>
      </c>
      <c r="T47">
        <f t="shared" si="9"/>
        <v>15.356987672403271</v>
      </c>
    </row>
    <row r="48" spans="3:29">
      <c r="P48">
        <f t="shared" si="9"/>
        <v>4.5223971683144146</v>
      </c>
      <c r="Q48">
        <f t="shared" si="9"/>
        <v>11.671042353228367</v>
      </c>
      <c r="R48">
        <f t="shared" si="9"/>
        <v>13.756582855282963</v>
      </c>
      <c r="S48">
        <f t="shared" si="9"/>
        <v>8.4571382074128305</v>
      </c>
      <c r="T48">
        <f t="shared" si="9"/>
        <v>15.797091012653077</v>
      </c>
    </row>
    <row r="49" spans="1:20">
      <c r="P49">
        <f t="shared" si="9"/>
        <v>2.5422515155213801</v>
      </c>
      <c r="Q49">
        <f t="shared" si="9"/>
        <v>4.2126001871516339</v>
      </c>
      <c r="R49">
        <f t="shared" si="9"/>
        <v>16.350573660441839</v>
      </c>
      <c r="S49">
        <f t="shared" si="9"/>
        <v>8.4188128076813538</v>
      </c>
    </row>
    <row r="50" spans="1:20">
      <c r="P50">
        <f t="shared" si="9"/>
        <v>4.0624923715366767</v>
      </c>
      <c r="Q50">
        <f t="shared" si="9"/>
        <v>5.4837259449123241</v>
      </c>
      <c r="R50">
        <f t="shared" si="9"/>
        <v>5.4805321616013654</v>
      </c>
      <c r="S50">
        <f t="shared" si="9"/>
        <v>8.6679279059359597</v>
      </c>
    </row>
    <row r="55" spans="1:20">
      <c r="A55" s="10" t="s">
        <v>48</v>
      </c>
      <c r="B55" s="10"/>
    </row>
    <row r="56" spans="1:20">
      <c r="A56" t="s">
        <v>45</v>
      </c>
    </row>
    <row r="57" spans="1:20">
      <c r="A57" t="s">
        <v>11</v>
      </c>
      <c r="C57">
        <v>1</v>
      </c>
      <c r="D57">
        <v>2</v>
      </c>
      <c r="E57">
        <v>3</v>
      </c>
      <c r="F57">
        <v>4</v>
      </c>
      <c r="G57">
        <v>5</v>
      </c>
      <c r="H57">
        <v>6</v>
      </c>
      <c r="I57">
        <v>7</v>
      </c>
      <c r="J57">
        <v>8</v>
      </c>
      <c r="K57">
        <v>9</v>
      </c>
      <c r="L57">
        <v>10</v>
      </c>
      <c r="M57">
        <v>11</v>
      </c>
      <c r="O57" t="s">
        <v>12</v>
      </c>
      <c r="P57">
        <v>12</v>
      </c>
    </row>
    <row r="58" spans="1:20">
      <c r="A58" t="s">
        <v>13</v>
      </c>
      <c r="C58" s="11">
        <v>0.2883</v>
      </c>
      <c r="D58" s="11">
        <v>2.31</v>
      </c>
      <c r="E58" s="11">
        <v>2.1240000000000001</v>
      </c>
      <c r="F58" s="11">
        <v>1.8573</v>
      </c>
      <c r="G58" s="11">
        <v>2.3283999999999998</v>
      </c>
      <c r="I58" t="s">
        <v>14</v>
      </c>
      <c r="J58" t="s">
        <v>15</v>
      </c>
      <c r="K58" t="s">
        <v>16</v>
      </c>
      <c r="L58" t="s">
        <v>17</v>
      </c>
      <c r="M58" t="s">
        <v>18</v>
      </c>
      <c r="P58">
        <f t="shared" ref="P58:T65" si="10">(C58-0.1875)/24.579</f>
        <v>4.1010618820944708E-3</v>
      </c>
      <c r="Q58">
        <f t="shared" si="10"/>
        <v>8.6354204808983273E-2</v>
      </c>
      <c r="R58">
        <f t="shared" si="10"/>
        <v>7.8786769193213715E-2</v>
      </c>
      <c r="S58">
        <f t="shared" si="10"/>
        <v>6.793604296350543E-2</v>
      </c>
      <c r="T58">
        <f t="shared" si="10"/>
        <v>8.7102811343016381E-2</v>
      </c>
    </row>
    <row r="59" spans="1:20">
      <c r="A59" t="s">
        <v>19</v>
      </c>
      <c r="B59">
        <v>0.1</v>
      </c>
      <c r="C59" s="11">
        <v>2.6545999999999998</v>
      </c>
      <c r="D59" s="11">
        <v>2.4510000000000001</v>
      </c>
      <c r="E59" s="11">
        <v>1.837</v>
      </c>
      <c r="F59" s="11">
        <v>1.8391999999999999</v>
      </c>
      <c r="G59" s="11">
        <v>2.3418000000000001</v>
      </c>
      <c r="I59" s="11">
        <v>0.1</v>
      </c>
      <c r="J59" t="s">
        <v>15</v>
      </c>
      <c r="K59" t="s">
        <v>20</v>
      </c>
      <c r="L59" t="s">
        <v>17</v>
      </c>
      <c r="M59" t="s">
        <v>21</v>
      </c>
      <c r="P59">
        <f t="shared" si="10"/>
        <v>0.10037430326701655</v>
      </c>
      <c r="Q59">
        <f t="shared" si="10"/>
        <v>9.2090809227389242E-2</v>
      </c>
      <c r="R59">
        <f t="shared" si="10"/>
        <v>6.7110134667805854E-2</v>
      </c>
      <c r="S59">
        <f t="shared" si="10"/>
        <v>6.7199641970788065E-2</v>
      </c>
      <c r="T59">
        <f t="shared" si="10"/>
        <v>8.7647992188453566E-2</v>
      </c>
    </row>
    <row r="60" spans="1:20">
      <c r="A60" t="s">
        <v>22</v>
      </c>
      <c r="B60">
        <v>0.06</v>
      </c>
      <c r="C60" s="11">
        <v>1.6638999999999999</v>
      </c>
      <c r="D60" s="11">
        <v>2.4430000000000001</v>
      </c>
      <c r="E60" s="11">
        <v>1.8449</v>
      </c>
      <c r="F60" s="11">
        <v>2.1385000000000001</v>
      </c>
      <c r="G60" s="11">
        <v>2.3418000000000001</v>
      </c>
      <c r="I60" s="11">
        <v>0.06</v>
      </c>
      <c r="J60" t="s">
        <v>15</v>
      </c>
      <c r="K60" t="s">
        <v>20</v>
      </c>
      <c r="L60" t="s">
        <v>23</v>
      </c>
      <c r="M60" t="s">
        <v>18</v>
      </c>
      <c r="P60">
        <f t="shared" si="10"/>
        <v>6.0067537328613856E-2</v>
      </c>
      <c r="Q60">
        <f t="shared" si="10"/>
        <v>9.1765328125635703E-2</v>
      </c>
      <c r="R60">
        <f t="shared" si="10"/>
        <v>6.7431547255787455E-2</v>
      </c>
      <c r="S60">
        <f t="shared" si="10"/>
        <v>7.9376703690141992E-2</v>
      </c>
      <c r="T60">
        <f t="shared" si="10"/>
        <v>8.7647992188453566E-2</v>
      </c>
    </row>
    <row r="61" spans="1:20">
      <c r="A61" t="s">
        <v>24</v>
      </c>
      <c r="B61">
        <v>0.03</v>
      </c>
      <c r="C61" s="11">
        <v>0.89049999999999996</v>
      </c>
      <c r="D61" s="11">
        <v>3.1433</v>
      </c>
      <c r="E61" s="11">
        <v>1.837</v>
      </c>
      <c r="F61" s="11">
        <v>2.1484999999999999</v>
      </c>
      <c r="G61" s="11">
        <v>2.1112000000000002</v>
      </c>
      <c r="I61" s="11">
        <v>0.03</v>
      </c>
      <c r="J61" t="s">
        <v>25</v>
      </c>
      <c r="K61" t="s">
        <v>20</v>
      </c>
      <c r="L61" t="s">
        <v>23</v>
      </c>
      <c r="M61" t="s">
        <v>26</v>
      </c>
      <c r="P61">
        <f t="shared" si="10"/>
        <v>2.8601651816591397E-2</v>
      </c>
      <c r="Q61">
        <f t="shared" si="10"/>
        <v>0.12025713007038528</v>
      </c>
      <c r="R61">
        <f t="shared" si="10"/>
        <v>6.7110134667805854E-2</v>
      </c>
      <c r="S61">
        <f t="shared" si="10"/>
        <v>7.9783555067333894E-2</v>
      </c>
      <c r="T61">
        <f t="shared" si="10"/>
        <v>7.8265999430408073E-2</v>
      </c>
    </row>
    <row r="62" spans="1:20">
      <c r="A62" t="s">
        <v>27</v>
      </c>
      <c r="B62">
        <v>0</v>
      </c>
      <c r="C62" s="11">
        <v>0.21079999999999999</v>
      </c>
      <c r="D62" s="11">
        <v>3.4159000000000002</v>
      </c>
      <c r="E62" s="11">
        <v>2.1383999999999999</v>
      </c>
      <c r="F62" s="11">
        <v>2.3582999999999998</v>
      </c>
      <c r="G62" s="11">
        <v>2.4834000000000001</v>
      </c>
      <c r="I62" s="11">
        <v>0</v>
      </c>
      <c r="J62" t="s">
        <v>25</v>
      </c>
      <c r="K62" t="s">
        <v>28</v>
      </c>
      <c r="L62" t="s">
        <v>23</v>
      </c>
      <c r="M62" t="s">
        <v>26</v>
      </c>
      <c r="P62">
        <f t="shared" si="10"/>
        <v>9.4796370885715398E-4</v>
      </c>
      <c r="Q62">
        <f t="shared" si="10"/>
        <v>0.13134789861263679</v>
      </c>
      <c r="R62">
        <f t="shared" si="10"/>
        <v>7.9372635176370068E-2</v>
      </c>
      <c r="S62">
        <f t="shared" si="10"/>
        <v>8.8319296960820207E-2</v>
      </c>
      <c r="T62">
        <f t="shared" si="10"/>
        <v>9.3409007689491022E-2</v>
      </c>
    </row>
    <row r="63" spans="1:20">
      <c r="A63" t="s">
        <v>29</v>
      </c>
      <c r="C63" s="11">
        <v>0.3291</v>
      </c>
      <c r="D63" s="11">
        <v>3.2181999999999999</v>
      </c>
      <c r="E63" s="11">
        <v>2.1219999999999999</v>
      </c>
      <c r="F63" s="11">
        <v>1.8574999999999999</v>
      </c>
      <c r="G63" s="11">
        <v>2.1294</v>
      </c>
      <c r="I63" t="s">
        <v>30</v>
      </c>
      <c r="J63" t="s">
        <v>31</v>
      </c>
      <c r="K63" t="s">
        <v>28</v>
      </c>
      <c r="L63" t="s">
        <v>32</v>
      </c>
      <c r="M63" t="s">
        <v>33</v>
      </c>
      <c r="P63">
        <f t="shared" si="10"/>
        <v>5.7610155010374706E-3</v>
      </c>
      <c r="Q63">
        <f t="shared" si="10"/>
        <v>0.1233044468855527</v>
      </c>
      <c r="R63">
        <f t="shared" si="10"/>
        <v>7.8705398917775324E-2</v>
      </c>
      <c r="S63">
        <f t="shared" si="10"/>
        <v>6.7944179991049264E-2</v>
      </c>
      <c r="T63">
        <f t="shared" si="10"/>
        <v>7.9006468936897348E-2</v>
      </c>
    </row>
    <row r="64" spans="1:20">
      <c r="A64" t="s">
        <v>34</v>
      </c>
      <c r="C64" s="11">
        <v>0.2671</v>
      </c>
      <c r="D64" s="11">
        <v>2.3119999999999998</v>
      </c>
      <c r="E64" s="11">
        <v>2.1154000000000002</v>
      </c>
      <c r="F64" s="11">
        <v>1.8749</v>
      </c>
      <c r="G64" s="11"/>
      <c r="I64" t="s">
        <v>30</v>
      </c>
      <c r="J64" t="s">
        <v>16</v>
      </c>
      <c r="K64" t="s">
        <v>28</v>
      </c>
      <c r="L64" t="s">
        <v>32</v>
      </c>
      <c r="P64">
        <f t="shared" si="10"/>
        <v>3.2385369624476179E-3</v>
      </c>
      <c r="Q64">
        <f t="shared" si="10"/>
        <v>8.6435575084421651E-2</v>
      </c>
      <c r="R64">
        <f t="shared" si="10"/>
        <v>7.8436877008828676E-2</v>
      </c>
      <c r="S64">
        <f t="shared" si="10"/>
        <v>6.865210138736319E-2</v>
      </c>
    </row>
    <row r="65" spans="1:29">
      <c r="A65" t="s">
        <v>35</v>
      </c>
      <c r="C65" s="11">
        <v>0.31469999999999998</v>
      </c>
      <c r="D65" s="11">
        <v>2.331</v>
      </c>
      <c r="E65" s="11">
        <v>1.8942000000000001</v>
      </c>
      <c r="F65" s="11">
        <v>1.8943000000000001</v>
      </c>
      <c r="G65" s="11"/>
      <c r="I65" t="s">
        <v>30</v>
      </c>
      <c r="J65" t="s">
        <v>16</v>
      </c>
      <c r="K65" t="s">
        <v>17</v>
      </c>
      <c r="L65" t="s">
        <v>32</v>
      </c>
      <c r="P65">
        <f t="shared" si="10"/>
        <v>5.1751495178811169E-3</v>
      </c>
      <c r="Q65">
        <f t="shared" si="10"/>
        <v>8.7208592701086288E-2</v>
      </c>
      <c r="R65">
        <f t="shared" si="10"/>
        <v>6.9437324545343584E-2</v>
      </c>
      <c r="S65">
        <f t="shared" si="10"/>
        <v>6.9441393059115508E-2</v>
      </c>
    </row>
    <row r="66" spans="1:29">
      <c r="C66" s="11"/>
      <c r="D66" s="11"/>
      <c r="E66" s="11"/>
      <c r="F66" s="11"/>
      <c r="G66" s="11"/>
      <c r="AC66" s="8" t="s">
        <v>36</v>
      </c>
    </row>
    <row r="67" spans="1:29">
      <c r="C67" s="11"/>
      <c r="D67" s="11"/>
      <c r="E67" s="11"/>
      <c r="F67" s="11"/>
      <c r="G67" s="11"/>
      <c r="O67" t="s">
        <v>37</v>
      </c>
      <c r="Y67" t="s">
        <v>38</v>
      </c>
      <c r="Z67" t="s">
        <v>39</v>
      </c>
      <c r="AB67" t="s">
        <v>40</v>
      </c>
      <c r="AC67" s="8" t="s">
        <v>41</v>
      </c>
    </row>
    <row r="68" spans="1:29">
      <c r="C68" s="11"/>
      <c r="D68" s="11"/>
      <c r="E68" s="11"/>
      <c r="F68" s="11"/>
      <c r="G68" s="11"/>
      <c r="P68">
        <f t="shared" ref="P68:T75" si="11">170/1*P58</f>
        <v>0.69718051995606001</v>
      </c>
      <c r="Q68" s="4">
        <f t="shared" si="11"/>
        <v>14.680214817527157</v>
      </c>
      <c r="R68" s="5">
        <f t="shared" si="11"/>
        <v>13.393750762846331</v>
      </c>
      <c r="S68" s="12">
        <f t="shared" si="11"/>
        <v>11.549127303795924</v>
      </c>
      <c r="T68" s="13">
        <f t="shared" si="11"/>
        <v>14.807477928312785</v>
      </c>
      <c r="Y68">
        <f>AVERAGE(Q68:Q70)</f>
        <v>15.311919389180465</v>
      </c>
      <c r="Z68">
        <f>STDEV(Q68:Q70)</f>
        <v>0.54777130360869475</v>
      </c>
      <c r="AB68">
        <f>Y68/1000</f>
        <v>1.5311919389180466E-2</v>
      </c>
      <c r="AC68" s="8">
        <f>AB68*46.0684</f>
        <v>0.70539562718852133</v>
      </c>
    </row>
    <row r="69" spans="1:29">
      <c r="C69" s="11"/>
      <c r="D69" s="11"/>
      <c r="E69" s="11"/>
      <c r="F69" s="11"/>
      <c r="G69" s="11"/>
      <c r="O69" t="s">
        <v>42</v>
      </c>
      <c r="P69">
        <f t="shared" si="11"/>
        <v>17.063631555392814</v>
      </c>
      <c r="Q69" s="4">
        <f t="shared" si="11"/>
        <v>15.655437568656172</v>
      </c>
      <c r="R69" s="6">
        <f t="shared" si="11"/>
        <v>11.408722893526996</v>
      </c>
      <c r="S69" s="12">
        <f t="shared" si="11"/>
        <v>11.423939135033971</v>
      </c>
      <c r="T69" s="13">
        <f t="shared" si="11"/>
        <v>14.900158672037106</v>
      </c>
      <c r="Y69">
        <f>AVERAGE(Q71:Q73)</f>
        <v>21.244870282219239</v>
      </c>
      <c r="Z69">
        <f>STDEV(Q71:Q73)</f>
        <v>0.97407775416241682</v>
      </c>
      <c r="AB69">
        <f t="shared" ref="AB69:AB77" si="12">Y69/1000</f>
        <v>2.124487028221924E-2</v>
      </c>
      <c r="AC69" s="8">
        <f t="shared" ref="AC69:AC77" si="13">AB69*46.0684</f>
        <v>0.97871718210938874</v>
      </c>
    </row>
    <row r="70" spans="1:29">
      <c r="C70" s="11"/>
      <c r="D70" s="11"/>
      <c r="E70" s="11"/>
      <c r="F70" s="11"/>
      <c r="G70" s="1" t="s">
        <v>743</v>
      </c>
      <c r="I70" s="164" t="s">
        <v>733</v>
      </c>
      <c r="J70" s="154"/>
      <c r="P70">
        <f t="shared" si="11"/>
        <v>10.211481345864355</v>
      </c>
      <c r="Q70" s="4">
        <f t="shared" si="11"/>
        <v>15.600105781358069</v>
      </c>
      <c r="R70" s="6">
        <f t="shared" si="11"/>
        <v>11.463363033483867</v>
      </c>
      <c r="S70" s="14">
        <f t="shared" si="11"/>
        <v>13.494039627324138</v>
      </c>
      <c r="T70" s="13">
        <f t="shared" si="11"/>
        <v>14.900158672037106</v>
      </c>
      <c r="W70" s="8"/>
      <c r="Y70">
        <f>AVERAGE(Q74:Q75,R68)</f>
        <v>14.30441976212756</v>
      </c>
      <c r="Z70">
        <f>STDEV(Q74:Q75,R68)</f>
        <v>0.79139488467619634</v>
      </c>
      <c r="AB70">
        <f t="shared" si="12"/>
        <v>1.4304419762127561E-2</v>
      </c>
      <c r="AC70" s="8">
        <f t="shared" si="13"/>
        <v>0.65898173136959726</v>
      </c>
    </row>
    <row r="71" spans="1:29">
      <c r="C71" s="11"/>
      <c r="D71" s="11"/>
      <c r="E71" s="11"/>
      <c r="F71" s="11"/>
      <c r="I71" s="164" t="s">
        <v>734</v>
      </c>
      <c r="J71" s="155"/>
      <c r="P71">
        <f t="shared" si="11"/>
        <v>4.8622808088205378</v>
      </c>
      <c r="Q71" s="3">
        <f t="shared" si="11"/>
        <v>20.4437121119655</v>
      </c>
      <c r="R71" s="6">
        <f t="shared" si="11"/>
        <v>11.408722893526996</v>
      </c>
      <c r="S71" s="14">
        <f t="shared" si="11"/>
        <v>13.563204361446761</v>
      </c>
      <c r="T71" s="15">
        <f t="shared" si="11"/>
        <v>13.305219903169373</v>
      </c>
      <c r="W71" s="8"/>
      <c r="Y71">
        <f>AVERAGE(R69:R71)</f>
        <v>11.426936273512618</v>
      </c>
      <c r="Z71">
        <f>STDEV(R69:R71)</f>
        <v>3.154649951265881E-2</v>
      </c>
      <c r="AB71">
        <f t="shared" si="12"/>
        <v>1.1426936273512617E-2</v>
      </c>
      <c r="AC71" s="8">
        <f t="shared" si="13"/>
        <v>0.52642067102268864</v>
      </c>
    </row>
    <row r="72" spans="1:29">
      <c r="C72" s="11"/>
      <c r="D72" s="11"/>
      <c r="E72" s="11"/>
      <c r="F72" s="11"/>
      <c r="I72" s="164" t="s">
        <v>735</v>
      </c>
      <c r="J72" s="156"/>
      <c r="P72" s="8">
        <f t="shared" si="11"/>
        <v>0.16115383050571619</v>
      </c>
      <c r="Q72" s="3">
        <f t="shared" si="11"/>
        <v>22.329142764148255</v>
      </c>
      <c r="R72" s="16">
        <f t="shared" si="11"/>
        <v>13.493347979982911</v>
      </c>
      <c r="S72" s="14">
        <f t="shared" si="11"/>
        <v>15.014280483339435</v>
      </c>
      <c r="T72" s="15">
        <f t="shared" si="11"/>
        <v>15.879531307213474</v>
      </c>
      <c r="W72" s="8"/>
      <c r="Y72">
        <f>AVERAGE(R72:R74)</f>
        <v>13.402511629168529</v>
      </c>
      <c r="Z72">
        <f>STDEV(R72:R74)</f>
        <v>8.1910826418440066E-2</v>
      </c>
      <c r="AB72">
        <f t="shared" si="12"/>
        <v>1.3402511629168529E-2</v>
      </c>
      <c r="AC72" s="8">
        <f t="shared" si="13"/>
        <v>0.61743226673718743</v>
      </c>
    </row>
    <row r="73" spans="1:29">
      <c r="C73" s="11"/>
      <c r="D73" s="11"/>
      <c r="E73" s="11"/>
      <c r="F73" s="11"/>
      <c r="I73" s="164" t="s">
        <v>736</v>
      </c>
      <c r="J73" s="158"/>
      <c r="P73" s="8">
        <f t="shared" si="11"/>
        <v>0.97937263517636997</v>
      </c>
      <c r="Q73" s="3">
        <f t="shared" si="11"/>
        <v>20.961755970543958</v>
      </c>
      <c r="R73" s="16">
        <f t="shared" si="11"/>
        <v>13.379917816021806</v>
      </c>
      <c r="S73" s="17">
        <f t="shared" si="11"/>
        <v>11.550510598478375</v>
      </c>
      <c r="T73" s="15">
        <f t="shared" si="11"/>
        <v>13.431099719272549</v>
      </c>
      <c r="W73" s="8"/>
      <c r="Y73">
        <f>AVERAGE(R75,S68,S69)</f>
        <v>11.592470537179436</v>
      </c>
      <c r="Z73">
        <f>STDEV(R75,S68,S69)</f>
        <v>0.19387151746683853</v>
      </c>
      <c r="AB73">
        <f t="shared" si="12"/>
        <v>1.1592470537179435E-2</v>
      </c>
      <c r="AC73" s="8">
        <f t="shared" si="13"/>
        <v>0.53404656969499709</v>
      </c>
    </row>
    <row r="74" spans="1:29">
      <c r="C74" s="11"/>
      <c r="D74" s="11"/>
      <c r="E74" s="11"/>
      <c r="F74" s="11"/>
      <c r="I74" s="164" t="s">
        <v>737</v>
      </c>
      <c r="J74" s="160"/>
      <c r="P74" s="8">
        <f t="shared" si="11"/>
        <v>0.55055128361609507</v>
      </c>
      <c r="Q74" s="5">
        <f t="shared" si="11"/>
        <v>14.69404776435168</v>
      </c>
      <c r="R74" s="16">
        <f t="shared" si="11"/>
        <v>13.334269091500875</v>
      </c>
      <c r="S74" s="17">
        <f t="shared" si="11"/>
        <v>11.670857235851742</v>
      </c>
      <c r="W74" s="8"/>
      <c r="Y74">
        <f>AVERAGE(S70:S72)</f>
        <v>14.023841490703445</v>
      </c>
      <c r="Z74">
        <f>STDEV(S70:S72)</f>
        <v>0.85844218716924092</v>
      </c>
      <c r="AB74">
        <f t="shared" si="12"/>
        <v>1.4023841490703445E-2</v>
      </c>
      <c r="AC74" s="8">
        <f t="shared" si="13"/>
        <v>0.64605593933032257</v>
      </c>
    </row>
    <row r="75" spans="1:29">
      <c r="C75" s="11"/>
      <c r="D75" s="11"/>
      <c r="E75" s="11"/>
      <c r="F75" s="11"/>
      <c r="I75" s="164" t="s">
        <v>738</v>
      </c>
      <c r="J75" s="161"/>
      <c r="P75" s="8">
        <f t="shared" si="11"/>
        <v>0.87977541803978987</v>
      </c>
      <c r="Q75" s="5">
        <f t="shared" si="11"/>
        <v>14.825460759184669</v>
      </c>
      <c r="R75" s="12">
        <f t="shared" si="11"/>
        <v>11.804345172708409</v>
      </c>
      <c r="S75" s="17">
        <f t="shared" si="11"/>
        <v>11.805036820049637</v>
      </c>
      <c r="W75" s="8"/>
      <c r="Y75">
        <f>AVERAGE(S73:S75)</f>
        <v>11.675468218126584</v>
      </c>
      <c r="Z75">
        <f>STDEV(S73:S75)</f>
        <v>0.12732574458839763</v>
      </c>
      <c r="AB75">
        <f t="shared" si="12"/>
        <v>1.1675468218126584E-2</v>
      </c>
      <c r="AC75" s="8">
        <f t="shared" si="13"/>
        <v>0.53787014005994271</v>
      </c>
    </row>
    <row r="76" spans="1:29">
      <c r="C76" s="11"/>
      <c r="D76" s="11"/>
      <c r="E76" s="11"/>
      <c r="F76" s="11"/>
      <c r="I76" s="164" t="s">
        <v>739</v>
      </c>
      <c r="J76" s="163"/>
      <c r="Y76">
        <f>AVERAGE(T68:T70)</f>
        <v>14.869265090795666</v>
      </c>
      <c r="Z76">
        <f>STDEV(T68:T70)</f>
        <v>5.3509252337931384E-2</v>
      </c>
      <c r="AB76">
        <f t="shared" si="12"/>
        <v>1.4869265090795666E-2</v>
      </c>
      <c r="AC76" s="8">
        <f t="shared" si="13"/>
        <v>0.68500325190881095</v>
      </c>
    </row>
    <row r="77" spans="1:29">
      <c r="C77" s="11"/>
      <c r="D77" s="11"/>
      <c r="E77" s="11"/>
      <c r="F77" s="11"/>
      <c r="I77" s="164" t="s">
        <v>740</v>
      </c>
      <c r="J77" s="162"/>
      <c r="O77" t="s">
        <v>43</v>
      </c>
      <c r="P77">
        <f t="shared" ref="P77:T84" si="14">785/1*P58</f>
        <v>3.2193335774441598</v>
      </c>
      <c r="Q77">
        <f t="shared" si="14"/>
        <v>67.788050775051872</v>
      </c>
      <c r="R77">
        <f t="shared" si="14"/>
        <v>61.847613816672769</v>
      </c>
      <c r="S77">
        <f t="shared" si="14"/>
        <v>53.32979372635176</v>
      </c>
      <c r="T77">
        <f t="shared" si="14"/>
        <v>68.375706904267858</v>
      </c>
      <c r="Y77">
        <f>AVERAGE(T71:T73)</f>
        <v>14.205283643218465</v>
      </c>
      <c r="Z77">
        <f>STDEV(T71:T73)</f>
        <v>1.4513064329493275</v>
      </c>
      <c r="AB77">
        <f t="shared" si="12"/>
        <v>1.4205283643218465E-2</v>
      </c>
      <c r="AC77" s="8">
        <f t="shared" si="13"/>
        <v>0.65441468898924549</v>
      </c>
    </row>
    <row r="78" spans="1:29">
      <c r="C78" s="11"/>
      <c r="D78" s="11"/>
      <c r="E78" s="11"/>
      <c r="F78" s="11"/>
      <c r="I78" s="164" t="s">
        <v>741</v>
      </c>
      <c r="J78" s="159"/>
      <c r="P78">
        <f t="shared" si="14"/>
        <v>78.793828064607993</v>
      </c>
      <c r="Q78">
        <f t="shared" si="14"/>
        <v>72.291285243500553</v>
      </c>
      <c r="R78">
        <f t="shared" si="14"/>
        <v>52.681455714227596</v>
      </c>
      <c r="S78">
        <f t="shared" si="14"/>
        <v>52.751718947068632</v>
      </c>
      <c r="T78">
        <f t="shared" si="14"/>
        <v>68.803673867936055</v>
      </c>
    </row>
    <row r="79" spans="1:29">
      <c r="C79" s="11"/>
      <c r="D79" s="11"/>
      <c r="E79" s="11"/>
      <c r="F79" s="11"/>
      <c r="I79" s="164" t="s">
        <v>742</v>
      </c>
      <c r="J79" s="157"/>
      <c r="P79">
        <f t="shared" si="14"/>
        <v>47.153016802961879</v>
      </c>
      <c r="Q79">
        <f t="shared" si="14"/>
        <v>72.035782578624023</v>
      </c>
      <c r="R79">
        <f t="shared" si="14"/>
        <v>52.93376459579315</v>
      </c>
      <c r="S79">
        <f t="shared" si="14"/>
        <v>62.310712396761467</v>
      </c>
      <c r="T79">
        <f t="shared" si="14"/>
        <v>68.803673867936055</v>
      </c>
      <c r="AA79" t="s">
        <v>44</v>
      </c>
      <c r="AC79" s="8">
        <f>AVERAGE(AC68:AC77)</f>
        <v>0.65443380684107022</v>
      </c>
    </row>
    <row r="80" spans="1:29">
      <c r="C80" s="11"/>
      <c r="D80" s="11"/>
      <c r="E80" s="11"/>
      <c r="F80" s="11"/>
      <c r="G80" s="11"/>
      <c r="P80">
        <f t="shared" si="14"/>
        <v>22.452296676024247</v>
      </c>
      <c r="Q80">
        <f t="shared" si="14"/>
        <v>94.401847105252443</v>
      </c>
      <c r="R80">
        <f t="shared" si="14"/>
        <v>52.681455714227596</v>
      </c>
      <c r="S80">
        <f t="shared" si="14"/>
        <v>62.630090727857109</v>
      </c>
      <c r="T80">
        <f t="shared" si="14"/>
        <v>61.438809552870339</v>
      </c>
    </row>
    <row r="81" spans="1:58">
      <c r="C81" s="11"/>
      <c r="D81" s="11"/>
      <c r="E81" s="11"/>
      <c r="F81" s="11"/>
      <c r="G81" s="11"/>
      <c r="P81">
        <f t="shared" si="14"/>
        <v>0.74415151145286584</v>
      </c>
      <c r="Q81">
        <f t="shared" si="14"/>
        <v>103.10810041091989</v>
      </c>
      <c r="R81">
        <f t="shared" si="14"/>
        <v>62.307518613450505</v>
      </c>
      <c r="S81">
        <f t="shared" si="14"/>
        <v>69.330648114243857</v>
      </c>
      <c r="T81">
        <f t="shared" si="14"/>
        <v>73.326071036250454</v>
      </c>
    </row>
    <row r="82" spans="1:58">
      <c r="P82">
        <f t="shared" si="14"/>
        <v>4.5223971683144146</v>
      </c>
      <c r="Q82">
        <f t="shared" si="14"/>
        <v>96.79399080515887</v>
      </c>
      <c r="R82">
        <f t="shared" si="14"/>
        <v>61.78373815045363</v>
      </c>
      <c r="S82">
        <f t="shared" si="14"/>
        <v>53.33618129297367</v>
      </c>
      <c r="T82">
        <f t="shared" si="14"/>
        <v>62.020078115464415</v>
      </c>
    </row>
    <row r="83" spans="1:58">
      <c r="P83">
        <f t="shared" si="14"/>
        <v>2.5422515155213801</v>
      </c>
      <c r="Q83">
        <f t="shared" si="14"/>
        <v>67.85192644127099</v>
      </c>
      <c r="R83">
        <f t="shared" si="14"/>
        <v>61.572948451930507</v>
      </c>
      <c r="S83">
        <f t="shared" si="14"/>
        <v>53.891899589080104</v>
      </c>
    </row>
    <row r="84" spans="1:58">
      <c r="P84">
        <f t="shared" si="14"/>
        <v>4.0624923715366767</v>
      </c>
      <c r="Q84">
        <f t="shared" si="14"/>
        <v>68.458745270352736</v>
      </c>
      <c r="R84">
        <f t="shared" si="14"/>
        <v>54.508299768094716</v>
      </c>
      <c r="S84">
        <f t="shared" si="14"/>
        <v>54.511493551405671</v>
      </c>
    </row>
    <row r="88" spans="1:58">
      <c r="A88" s="7" t="s">
        <v>68</v>
      </c>
      <c r="B88" s="7"/>
      <c r="AL88" s="171" t="s">
        <v>51</v>
      </c>
      <c r="AM88" s="171"/>
      <c r="AO88" s="8" t="s">
        <v>52</v>
      </c>
      <c r="AX88" s="18" t="s">
        <v>66</v>
      </c>
      <c r="BB88" s="7" t="s">
        <v>53</v>
      </c>
      <c r="BC88" s="7"/>
      <c r="BF88" t="s">
        <v>54</v>
      </c>
    </row>
    <row r="89" spans="1:58">
      <c r="A89" s="7" t="s">
        <v>55</v>
      </c>
      <c r="B89" s="171" t="s">
        <v>56</v>
      </c>
      <c r="C89" s="171"/>
      <c r="D89" s="171"/>
      <c r="E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171"/>
      <c r="S89" s="171"/>
      <c r="T89" s="171"/>
      <c r="U89" s="171"/>
      <c r="V89" s="171"/>
      <c r="W89" s="171"/>
      <c r="X89" s="171"/>
      <c r="Y89" s="171"/>
      <c r="Z89" s="171"/>
      <c r="AA89" s="171"/>
      <c r="AB89" s="171"/>
      <c r="AC89" s="171"/>
      <c r="AD89" s="171"/>
      <c r="AE89" s="171"/>
      <c r="AF89" s="171"/>
      <c r="AG89" s="171"/>
      <c r="AH89" s="171"/>
      <c r="AI89" s="171"/>
      <c r="AJ89" s="171"/>
      <c r="AL89" s="7" t="s">
        <v>57</v>
      </c>
      <c r="AM89" s="7" t="s">
        <v>58</v>
      </c>
      <c r="AO89" s="22" t="s">
        <v>59</v>
      </c>
      <c r="AX89" s="18"/>
      <c r="BB89" s="7" t="s">
        <v>60</v>
      </c>
      <c r="BC89" s="7" t="s">
        <v>61</v>
      </c>
    </row>
    <row r="90" spans="1:58">
      <c r="A90" s="7" t="s">
        <v>62</v>
      </c>
      <c r="B90" s="7">
        <v>1</v>
      </c>
      <c r="C90" s="7">
        <v>2</v>
      </c>
      <c r="D90" s="7">
        <v>3</v>
      </c>
      <c r="E90" s="7">
        <v>4</v>
      </c>
      <c r="F90" s="7">
        <v>5</v>
      </c>
      <c r="G90" s="7">
        <v>6</v>
      </c>
      <c r="H90" s="7">
        <v>7</v>
      </c>
      <c r="I90" s="7">
        <v>8</v>
      </c>
      <c r="J90" s="7">
        <v>9</v>
      </c>
      <c r="K90" s="7">
        <v>10</v>
      </c>
      <c r="L90" s="7">
        <v>11</v>
      </c>
      <c r="M90" s="7">
        <v>12</v>
      </c>
      <c r="N90" s="7">
        <v>13</v>
      </c>
      <c r="O90" s="7">
        <v>14</v>
      </c>
      <c r="P90" s="7">
        <v>15</v>
      </c>
      <c r="Q90" s="7">
        <v>16</v>
      </c>
      <c r="R90" s="7">
        <v>17</v>
      </c>
      <c r="S90" s="7">
        <v>18</v>
      </c>
      <c r="T90" s="7">
        <v>19</v>
      </c>
      <c r="U90" s="7">
        <v>20</v>
      </c>
      <c r="V90" s="7">
        <v>21</v>
      </c>
      <c r="W90" s="7">
        <v>22</v>
      </c>
      <c r="X90" s="7">
        <v>23</v>
      </c>
      <c r="Y90" s="7">
        <v>24</v>
      </c>
      <c r="Z90" s="7">
        <v>25</v>
      </c>
      <c r="AA90" s="7">
        <v>26</v>
      </c>
      <c r="AB90" s="7">
        <v>27</v>
      </c>
      <c r="AC90" s="22">
        <v>28</v>
      </c>
      <c r="AD90" s="7">
        <v>29</v>
      </c>
      <c r="AE90" s="7">
        <v>30</v>
      </c>
      <c r="AF90" s="7">
        <v>31</v>
      </c>
      <c r="AG90" s="7">
        <v>32</v>
      </c>
      <c r="AH90" s="7">
        <v>33</v>
      </c>
      <c r="AI90" s="7">
        <v>34</v>
      </c>
      <c r="AJ90" s="7">
        <v>35</v>
      </c>
      <c r="AK90" s="7"/>
      <c r="AL90" s="7"/>
      <c r="AM90" s="7"/>
      <c r="AN90" s="7"/>
      <c r="AO90" s="22"/>
      <c r="AP90" s="22"/>
      <c r="AQ90" s="7"/>
      <c r="AR90" s="7"/>
      <c r="AS90" s="7"/>
      <c r="AT90" s="7"/>
      <c r="AU90" s="7"/>
      <c r="AV90" s="7"/>
      <c r="AW90" s="7"/>
      <c r="AX90" s="19"/>
      <c r="AY90" s="7"/>
      <c r="AZ90" s="7"/>
    </row>
    <row r="91" spans="1:58">
      <c r="A91" s="7">
        <v>1</v>
      </c>
      <c r="B91">
        <v>9.9</v>
      </c>
      <c r="C91">
        <v>9</v>
      </c>
      <c r="D91">
        <v>8.5</v>
      </c>
      <c r="E91">
        <v>11.5</v>
      </c>
      <c r="F91">
        <v>7.3</v>
      </c>
      <c r="G91">
        <v>10.5</v>
      </c>
      <c r="H91">
        <v>13</v>
      </c>
      <c r="I91">
        <v>12.6</v>
      </c>
      <c r="J91">
        <v>10.6</v>
      </c>
      <c r="K91">
        <v>10.6</v>
      </c>
      <c r="L91">
        <v>11.3</v>
      </c>
      <c r="M91">
        <v>12.5</v>
      </c>
      <c r="N91">
        <v>9.6</v>
      </c>
      <c r="O91">
        <v>12.3</v>
      </c>
      <c r="P91">
        <v>12.4</v>
      </c>
      <c r="Q91">
        <v>11.5</v>
      </c>
      <c r="R91">
        <v>11.3</v>
      </c>
      <c r="S91">
        <v>10.4</v>
      </c>
      <c r="T91">
        <v>11.2</v>
      </c>
      <c r="U91">
        <v>12.7</v>
      </c>
      <c r="V91">
        <v>10.5</v>
      </c>
      <c r="W91">
        <v>10.6</v>
      </c>
      <c r="X91">
        <v>6.9</v>
      </c>
      <c r="Y91">
        <v>11.5</v>
      </c>
      <c r="Z91">
        <v>13.5</v>
      </c>
      <c r="AA91">
        <v>12.6</v>
      </c>
      <c r="AB91">
        <v>12.4</v>
      </c>
      <c r="AC91" s="8">
        <v>11.6</v>
      </c>
      <c r="AD91">
        <v>10.6</v>
      </c>
      <c r="AE91">
        <v>11.6</v>
      </c>
      <c r="AF91">
        <v>12.8</v>
      </c>
      <c r="AG91">
        <v>11.8</v>
      </c>
      <c r="AH91">
        <v>13.4</v>
      </c>
      <c r="AI91">
        <v>12.4</v>
      </c>
      <c r="AJ91">
        <v>12.6</v>
      </c>
      <c r="AL91">
        <f>AVERAGE(C91:AJ91)</f>
        <v>11.282352941176471</v>
      </c>
      <c r="AM91">
        <f>STDEV(C91:AJ91)</f>
        <v>1.5904012431088026</v>
      </c>
      <c r="AO91" s="8">
        <f>AL91*789*0.52/1000</f>
        <v>4.6289237647058838</v>
      </c>
      <c r="AQ91" t="s">
        <v>63</v>
      </c>
      <c r="AX91" s="20">
        <f>AO91*1000/789*AL91</f>
        <v>66.191573702422161</v>
      </c>
      <c r="BB91">
        <v>5.8485714285714288</v>
      </c>
      <c r="BC91">
        <v>0.86138446310420858</v>
      </c>
      <c r="BF91">
        <f>BB91/AL91</f>
        <v>0.51838224340831218</v>
      </c>
    </row>
    <row r="92" spans="1:58">
      <c r="A92" s="7">
        <v>2</v>
      </c>
      <c r="B92">
        <v>8.6</v>
      </c>
      <c r="C92">
        <v>7.8</v>
      </c>
      <c r="D92">
        <v>6.5</v>
      </c>
      <c r="E92">
        <v>10.199999999999999</v>
      </c>
      <c r="F92">
        <v>10.6</v>
      </c>
      <c r="G92">
        <v>12.5</v>
      </c>
      <c r="H92">
        <v>8.6</v>
      </c>
      <c r="I92">
        <v>11.5</v>
      </c>
      <c r="J92">
        <v>11.6</v>
      </c>
      <c r="K92">
        <v>12.7</v>
      </c>
      <c r="L92">
        <v>10.7</v>
      </c>
      <c r="M92">
        <v>11.4</v>
      </c>
      <c r="N92">
        <v>8.6</v>
      </c>
      <c r="O92">
        <v>9.6</v>
      </c>
      <c r="P92">
        <v>12.6</v>
      </c>
      <c r="Q92">
        <v>10.8</v>
      </c>
      <c r="R92">
        <v>9.5</v>
      </c>
      <c r="S92">
        <v>7.8</v>
      </c>
      <c r="T92">
        <v>5.9</v>
      </c>
      <c r="U92">
        <v>10.6</v>
      </c>
      <c r="V92">
        <v>11.5</v>
      </c>
      <c r="W92">
        <v>12.5</v>
      </c>
      <c r="X92">
        <v>9.4</v>
      </c>
      <c r="Y92">
        <v>10.6</v>
      </c>
      <c r="Z92">
        <v>11.6</v>
      </c>
      <c r="AA92">
        <v>11.6</v>
      </c>
      <c r="AB92">
        <v>9.5</v>
      </c>
      <c r="AC92" s="8">
        <v>12.7</v>
      </c>
      <c r="AD92">
        <v>10.8</v>
      </c>
      <c r="AE92">
        <v>12.6</v>
      </c>
      <c r="AF92">
        <v>9.5</v>
      </c>
      <c r="AG92">
        <v>12.8</v>
      </c>
      <c r="AH92">
        <v>7.8</v>
      </c>
      <c r="AI92">
        <v>8.6</v>
      </c>
      <c r="AJ92">
        <v>9.6999999999999993</v>
      </c>
      <c r="AL92">
        <f t="shared" ref="AL92:AL100" si="15">AVERAGE(C92:AJ92)</f>
        <v>10.314705882352944</v>
      </c>
      <c r="AM92">
        <f t="shared" ref="AM92:AM100" si="16">STDEV(C92:AJ92)</f>
        <v>1.8498373971032827</v>
      </c>
      <c r="AO92" s="8">
        <f t="shared" ref="AO92:AO100" si="17">AL92*789*0.52/1000</f>
        <v>4.2319175294117661</v>
      </c>
      <c r="AQ92" t="s">
        <v>64</v>
      </c>
      <c r="AX92" s="20">
        <f t="shared" ref="AX92:AX100" si="18">AO92*1000/789*AL92</f>
        <v>55.324441868512146</v>
      </c>
      <c r="BB92">
        <v>5.3514285714285705</v>
      </c>
      <c r="BC92">
        <v>0.97569626076834248</v>
      </c>
      <c r="BF92">
        <f t="shared" ref="BF92:BF100" si="19">BB92/AL92</f>
        <v>0.51881543036376199</v>
      </c>
    </row>
    <row r="93" spans="1:58">
      <c r="A93" s="7">
        <v>3</v>
      </c>
      <c r="B93">
        <v>10.3</v>
      </c>
      <c r="C93">
        <v>8.5</v>
      </c>
      <c r="D93">
        <v>7.6</v>
      </c>
      <c r="E93">
        <v>8.4</v>
      </c>
      <c r="F93">
        <v>7.9</v>
      </c>
      <c r="G93">
        <v>8.6999999999999993</v>
      </c>
      <c r="H93">
        <v>12.5</v>
      </c>
      <c r="I93">
        <v>8.5</v>
      </c>
      <c r="J93">
        <v>11.4</v>
      </c>
      <c r="K93">
        <v>8.6999999999999993</v>
      </c>
      <c r="L93">
        <v>13.8</v>
      </c>
      <c r="M93">
        <v>9.9</v>
      </c>
      <c r="N93">
        <v>9.8000000000000007</v>
      </c>
      <c r="O93">
        <v>12.6</v>
      </c>
      <c r="P93">
        <v>12.4</v>
      </c>
      <c r="Q93">
        <v>11.6</v>
      </c>
      <c r="R93">
        <v>10.3</v>
      </c>
      <c r="S93">
        <v>12.7</v>
      </c>
      <c r="T93">
        <v>11.2</v>
      </c>
      <c r="U93">
        <v>12.4</v>
      </c>
      <c r="V93">
        <v>12.5</v>
      </c>
      <c r="W93">
        <v>11.5</v>
      </c>
      <c r="X93">
        <v>12.3</v>
      </c>
      <c r="Y93">
        <v>12.6</v>
      </c>
      <c r="Z93">
        <v>11.7</v>
      </c>
      <c r="AA93">
        <v>9.6999999999999993</v>
      </c>
      <c r="AB93">
        <v>10.8</v>
      </c>
      <c r="AC93" s="8">
        <v>9.1999999999999993</v>
      </c>
      <c r="AD93">
        <v>9.6</v>
      </c>
      <c r="AE93">
        <v>9.8000000000000007</v>
      </c>
      <c r="AF93">
        <v>10.7</v>
      </c>
      <c r="AG93">
        <v>10.6</v>
      </c>
      <c r="AH93">
        <v>10.5</v>
      </c>
      <c r="AI93">
        <v>10.7</v>
      </c>
      <c r="AJ93">
        <v>8.5</v>
      </c>
      <c r="AL93">
        <f t="shared" si="15"/>
        <v>10.576470588235296</v>
      </c>
      <c r="AM93">
        <f t="shared" si="16"/>
        <v>1.6562203819703949</v>
      </c>
      <c r="AO93" s="8">
        <f t="shared" si="17"/>
        <v>4.3393143529411775</v>
      </c>
      <c r="AX93" s="20">
        <f t="shared" si="18"/>
        <v>58.168099653979262</v>
      </c>
      <c r="BB93">
        <v>5.1857142857142851</v>
      </c>
      <c r="BC93">
        <v>0.85582531791828176</v>
      </c>
      <c r="BF93">
        <f t="shared" si="19"/>
        <v>0.49030668997298571</v>
      </c>
    </row>
    <row r="94" spans="1:58">
      <c r="A94" s="7">
        <v>4</v>
      </c>
      <c r="B94">
        <v>8.9</v>
      </c>
      <c r="C94">
        <v>8</v>
      </c>
      <c r="D94">
        <v>9</v>
      </c>
      <c r="E94">
        <v>10.7</v>
      </c>
      <c r="F94">
        <v>11.4</v>
      </c>
      <c r="G94">
        <v>9.4</v>
      </c>
      <c r="H94">
        <v>12.3</v>
      </c>
      <c r="I94">
        <v>11.3</v>
      </c>
      <c r="J94">
        <v>6.7</v>
      </c>
      <c r="K94">
        <v>12.7</v>
      </c>
      <c r="L94">
        <v>9.6</v>
      </c>
      <c r="M94">
        <v>10.1</v>
      </c>
      <c r="N94">
        <v>9.9</v>
      </c>
      <c r="O94">
        <v>9.6999999999999993</v>
      </c>
      <c r="P94">
        <v>8.9</v>
      </c>
      <c r="Q94">
        <v>8.9</v>
      </c>
      <c r="R94">
        <v>10.7</v>
      </c>
      <c r="S94">
        <v>11.9</v>
      </c>
      <c r="T94">
        <v>12.2</v>
      </c>
      <c r="U94">
        <v>11.7</v>
      </c>
      <c r="V94">
        <v>10.3</v>
      </c>
      <c r="W94">
        <v>9.9</v>
      </c>
      <c r="X94">
        <v>11.4</v>
      </c>
      <c r="Y94">
        <v>9.4</v>
      </c>
      <c r="Z94">
        <v>12.4</v>
      </c>
      <c r="AA94">
        <v>10.9</v>
      </c>
      <c r="AB94">
        <v>10.5</v>
      </c>
      <c r="AC94" s="8">
        <v>10.4</v>
      </c>
      <c r="AD94">
        <v>10.4</v>
      </c>
      <c r="AE94">
        <v>9.8000000000000007</v>
      </c>
      <c r="AF94">
        <v>10.6</v>
      </c>
      <c r="AG94">
        <v>7.8</v>
      </c>
      <c r="AH94">
        <v>7.8</v>
      </c>
      <c r="AI94">
        <v>7.9</v>
      </c>
      <c r="AJ94">
        <v>9.4</v>
      </c>
      <c r="AL94">
        <f t="shared" si="15"/>
        <v>10.117647058823527</v>
      </c>
      <c r="AM94">
        <f t="shared" si="16"/>
        <v>1.471233370078854</v>
      </c>
      <c r="AO94" s="8">
        <f t="shared" si="17"/>
        <v>4.1510682352941171</v>
      </c>
      <c r="AX94" s="20">
        <f t="shared" si="18"/>
        <v>53.230726643598594</v>
      </c>
      <c r="BB94">
        <v>6.3142857142857149</v>
      </c>
      <c r="BC94">
        <v>2.0605742856190847</v>
      </c>
      <c r="BF94">
        <f t="shared" si="19"/>
        <v>0.62408637873754169</v>
      </c>
    </row>
    <row r="95" spans="1:58">
      <c r="A95" s="7">
        <v>5</v>
      </c>
      <c r="B95">
        <v>7.9</v>
      </c>
      <c r="C95">
        <v>5.8</v>
      </c>
      <c r="D95">
        <v>11.5</v>
      </c>
      <c r="E95">
        <v>10.199999999999999</v>
      </c>
      <c r="F95">
        <v>10.5</v>
      </c>
      <c r="G95">
        <v>10.3</v>
      </c>
      <c r="H95">
        <v>11.9</v>
      </c>
      <c r="I95">
        <v>9.6</v>
      </c>
      <c r="J95">
        <v>8.6</v>
      </c>
      <c r="K95">
        <v>8.4</v>
      </c>
      <c r="L95">
        <v>7.8</v>
      </c>
      <c r="M95">
        <v>12.8</v>
      </c>
      <c r="N95">
        <v>9.6999999999999993</v>
      </c>
      <c r="O95">
        <v>7.8</v>
      </c>
      <c r="P95">
        <v>6.8</v>
      </c>
      <c r="Q95">
        <v>7.8</v>
      </c>
      <c r="R95">
        <v>10.4</v>
      </c>
      <c r="S95">
        <v>8.6</v>
      </c>
      <c r="T95">
        <v>9.6999999999999993</v>
      </c>
      <c r="U95">
        <v>10.6</v>
      </c>
      <c r="V95">
        <v>7.8</v>
      </c>
      <c r="W95">
        <v>9.4</v>
      </c>
      <c r="X95">
        <v>8.3000000000000007</v>
      </c>
      <c r="Y95">
        <v>9.6</v>
      </c>
      <c r="Z95">
        <v>9.8000000000000007</v>
      </c>
      <c r="AA95">
        <v>9.6</v>
      </c>
      <c r="AB95">
        <v>9.6999999999999993</v>
      </c>
      <c r="AC95" s="8">
        <v>9.5</v>
      </c>
      <c r="AD95">
        <v>8.6999999999999993</v>
      </c>
      <c r="AE95">
        <v>10.3</v>
      </c>
      <c r="AF95">
        <v>11.5</v>
      </c>
      <c r="AG95">
        <v>9.6999999999999993</v>
      </c>
      <c r="AH95">
        <v>6.9</v>
      </c>
      <c r="AI95">
        <v>8.5</v>
      </c>
      <c r="AJ95">
        <v>10.6</v>
      </c>
      <c r="AL95">
        <f t="shared" si="15"/>
        <v>9.3735294117647054</v>
      </c>
      <c r="AM95">
        <f t="shared" si="16"/>
        <v>1.5136367651073048</v>
      </c>
      <c r="AO95" s="8">
        <f t="shared" si="17"/>
        <v>3.8457716470588239</v>
      </c>
      <c r="AX95" s="20">
        <f t="shared" si="18"/>
        <v>45.688787889273357</v>
      </c>
      <c r="BB95">
        <v>4.8114285714285696</v>
      </c>
      <c r="BC95">
        <v>0.84427881809808236</v>
      </c>
      <c r="BF95">
        <f t="shared" si="19"/>
        <v>0.51329956519790199</v>
      </c>
    </row>
    <row r="96" spans="1:58">
      <c r="A96" s="7">
        <v>6</v>
      </c>
      <c r="B96">
        <v>10.6</v>
      </c>
      <c r="C96">
        <v>7.6</v>
      </c>
      <c r="D96">
        <v>12.4</v>
      </c>
      <c r="E96">
        <v>12.4</v>
      </c>
      <c r="F96">
        <v>11.4</v>
      </c>
      <c r="G96">
        <v>10.5</v>
      </c>
      <c r="H96">
        <v>9.4</v>
      </c>
      <c r="I96">
        <v>11.4</v>
      </c>
      <c r="J96">
        <v>12.1</v>
      </c>
      <c r="K96">
        <v>10.6</v>
      </c>
      <c r="L96">
        <v>9.6</v>
      </c>
      <c r="M96">
        <v>10.3</v>
      </c>
      <c r="N96">
        <v>10.3</v>
      </c>
      <c r="O96">
        <v>12.5</v>
      </c>
      <c r="P96">
        <v>11.4</v>
      </c>
      <c r="Q96">
        <v>12.5</v>
      </c>
      <c r="R96">
        <v>11.5</v>
      </c>
      <c r="S96">
        <v>11.6</v>
      </c>
      <c r="T96">
        <v>10.7</v>
      </c>
      <c r="U96">
        <v>12.7</v>
      </c>
      <c r="V96">
        <v>10.7</v>
      </c>
      <c r="W96">
        <v>10.6</v>
      </c>
      <c r="X96">
        <v>10.4</v>
      </c>
      <c r="Y96">
        <v>10.6</v>
      </c>
      <c r="Z96">
        <v>11.2</v>
      </c>
      <c r="AA96">
        <v>10.5</v>
      </c>
      <c r="AB96">
        <v>8.8000000000000007</v>
      </c>
      <c r="AC96" s="8">
        <v>9.6</v>
      </c>
      <c r="AD96">
        <v>6.8</v>
      </c>
      <c r="AE96">
        <v>8.5</v>
      </c>
      <c r="AF96">
        <v>8.4</v>
      </c>
      <c r="AG96">
        <v>8.5</v>
      </c>
      <c r="AH96">
        <v>8.6</v>
      </c>
      <c r="AI96">
        <v>10.7</v>
      </c>
      <c r="AJ96">
        <v>11.8</v>
      </c>
      <c r="AL96">
        <f t="shared" si="15"/>
        <v>10.488235294117645</v>
      </c>
      <c r="AM96">
        <f t="shared" si="16"/>
        <v>1.4925602786431251</v>
      </c>
      <c r="AO96" s="8">
        <f t="shared" si="17"/>
        <v>4.3031131764705881</v>
      </c>
      <c r="AX96" s="20">
        <f t="shared" si="18"/>
        <v>57.201601384083027</v>
      </c>
      <c r="BB96">
        <v>5.2285714285714269</v>
      </c>
      <c r="BC96">
        <v>0.95009950827809175</v>
      </c>
      <c r="BF96">
        <f t="shared" si="19"/>
        <v>0.49851774697540252</v>
      </c>
    </row>
    <row r="97" spans="1:58">
      <c r="A97" s="7">
        <v>7</v>
      </c>
      <c r="B97">
        <v>8.6</v>
      </c>
      <c r="C97">
        <v>9</v>
      </c>
      <c r="D97">
        <v>10</v>
      </c>
      <c r="E97">
        <v>13.2</v>
      </c>
      <c r="F97">
        <v>13.2</v>
      </c>
      <c r="G97">
        <v>11.2</v>
      </c>
      <c r="H97">
        <v>10.4</v>
      </c>
      <c r="I97">
        <v>5.7</v>
      </c>
      <c r="J97">
        <v>10.1</v>
      </c>
      <c r="K97">
        <v>8.6</v>
      </c>
      <c r="L97">
        <v>10.199999999999999</v>
      </c>
      <c r="M97">
        <v>9.8000000000000007</v>
      </c>
      <c r="N97">
        <v>8.6</v>
      </c>
      <c r="O97">
        <v>10.7</v>
      </c>
      <c r="P97">
        <v>7.7</v>
      </c>
      <c r="Q97">
        <v>7.8</v>
      </c>
      <c r="R97">
        <v>9.5</v>
      </c>
      <c r="S97">
        <v>7.9</v>
      </c>
      <c r="T97">
        <v>9.6999999999999993</v>
      </c>
      <c r="U97">
        <v>10.7</v>
      </c>
      <c r="V97">
        <v>8.6999999999999993</v>
      </c>
      <c r="W97">
        <v>6.8</v>
      </c>
      <c r="X97">
        <v>10.6</v>
      </c>
      <c r="Y97">
        <v>9.6999999999999993</v>
      </c>
      <c r="Z97">
        <v>7.6</v>
      </c>
      <c r="AA97">
        <v>11.6</v>
      </c>
      <c r="AB97">
        <v>9.6</v>
      </c>
      <c r="AC97" s="8">
        <v>8.9</v>
      </c>
      <c r="AD97">
        <v>8.6</v>
      </c>
      <c r="AE97">
        <v>7.9</v>
      </c>
      <c r="AF97">
        <v>9.5</v>
      </c>
      <c r="AG97">
        <v>7.8</v>
      </c>
      <c r="AH97">
        <v>10.4</v>
      </c>
      <c r="AI97">
        <v>9.6999999999999993</v>
      </c>
      <c r="AJ97">
        <v>10.8</v>
      </c>
      <c r="AL97">
        <f t="shared" si="15"/>
        <v>9.4764705882352924</v>
      </c>
      <c r="AM97">
        <f t="shared" si="16"/>
        <v>1.6194010908506171</v>
      </c>
      <c r="AO97" s="8">
        <f t="shared" si="17"/>
        <v>3.8880063529411761</v>
      </c>
      <c r="AX97" s="20">
        <f t="shared" si="18"/>
        <v>46.69781730103805</v>
      </c>
      <c r="BB97">
        <v>4.4942857142857138</v>
      </c>
      <c r="BC97">
        <v>0.89900037857181592</v>
      </c>
      <c r="BF97">
        <f t="shared" si="19"/>
        <v>0.47425733794448882</v>
      </c>
    </row>
    <row r="98" spans="1:58">
      <c r="A98" s="7">
        <v>8</v>
      </c>
      <c r="B98">
        <v>8.4</v>
      </c>
      <c r="C98">
        <v>6.5</v>
      </c>
      <c r="D98">
        <v>11.6</v>
      </c>
      <c r="E98">
        <v>11.3</v>
      </c>
      <c r="F98">
        <v>12.7</v>
      </c>
      <c r="G98">
        <v>7.8</v>
      </c>
      <c r="H98">
        <v>12.4</v>
      </c>
      <c r="I98">
        <v>12.5</v>
      </c>
      <c r="J98">
        <v>8.5</v>
      </c>
      <c r="K98">
        <v>6.8</v>
      </c>
      <c r="L98">
        <v>12.5</v>
      </c>
      <c r="M98">
        <v>10.6</v>
      </c>
      <c r="N98">
        <v>12.7</v>
      </c>
      <c r="O98">
        <v>11.6</v>
      </c>
      <c r="P98">
        <v>8.9</v>
      </c>
      <c r="Q98">
        <v>8.4</v>
      </c>
      <c r="R98">
        <v>8.6999999999999993</v>
      </c>
      <c r="S98">
        <v>10.3</v>
      </c>
      <c r="T98">
        <v>8.5</v>
      </c>
      <c r="U98">
        <v>9.6999999999999993</v>
      </c>
      <c r="V98">
        <v>6.9</v>
      </c>
      <c r="W98">
        <v>8.6999999999999993</v>
      </c>
      <c r="X98">
        <v>9.6999999999999993</v>
      </c>
      <c r="Y98">
        <v>10.6</v>
      </c>
      <c r="Z98">
        <v>7.9</v>
      </c>
      <c r="AA98">
        <v>9.8000000000000007</v>
      </c>
      <c r="AB98">
        <v>10.6</v>
      </c>
      <c r="AC98" s="8">
        <v>9.6</v>
      </c>
      <c r="AD98">
        <v>10.5</v>
      </c>
      <c r="AE98">
        <v>9.6</v>
      </c>
      <c r="AF98">
        <v>9.9</v>
      </c>
      <c r="AG98">
        <v>6.9</v>
      </c>
      <c r="AH98">
        <v>9.6999999999999993</v>
      </c>
      <c r="AI98">
        <v>7.4</v>
      </c>
      <c r="AJ98">
        <v>12.5</v>
      </c>
      <c r="AL98">
        <f t="shared" si="15"/>
        <v>9.773529411764704</v>
      </c>
      <c r="AM98">
        <f t="shared" si="16"/>
        <v>1.8715264914501439</v>
      </c>
      <c r="AO98" s="8">
        <f t="shared" si="17"/>
        <v>4.0098836470588228</v>
      </c>
      <c r="AX98" s="20">
        <f t="shared" si="18"/>
        <v>49.671376124567459</v>
      </c>
      <c r="BB98">
        <v>4.58</v>
      </c>
      <c r="BC98">
        <v>1.1610846855672603</v>
      </c>
      <c r="BF98">
        <f t="shared" si="19"/>
        <v>0.46861269936804101</v>
      </c>
    </row>
    <row r="99" spans="1:58">
      <c r="A99" s="7">
        <v>9</v>
      </c>
      <c r="B99">
        <v>8.3000000000000007</v>
      </c>
      <c r="C99">
        <v>5.8</v>
      </c>
      <c r="D99">
        <v>13.3</v>
      </c>
      <c r="E99">
        <v>12.5</v>
      </c>
      <c r="F99">
        <v>12.4</v>
      </c>
      <c r="G99">
        <v>6</v>
      </c>
      <c r="H99">
        <v>11.2</v>
      </c>
      <c r="I99">
        <v>11.1</v>
      </c>
      <c r="J99">
        <v>10.6</v>
      </c>
      <c r="K99">
        <v>8.5</v>
      </c>
      <c r="L99">
        <v>8.4</v>
      </c>
      <c r="M99">
        <v>11.6</v>
      </c>
      <c r="N99">
        <v>10.4</v>
      </c>
      <c r="O99">
        <v>9.6999999999999993</v>
      </c>
      <c r="P99">
        <v>9.1</v>
      </c>
      <c r="Q99">
        <v>6.9</v>
      </c>
      <c r="R99">
        <v>6.8</v>
      </c>
      <c r="S99">
        <v>11.7</v>
      </c>
      <c r="T99">
        <v>9.6999999999999993</v>
      </c>
      <c r="U99">
        <v>8.9</v>
      </c>
      <c r="V99">
        <v>9.4</v>
      </c>
      <c r="W99">
        <v>9.6999999999999993</v>
      </c>
      <c r="X99">
        <v>9.5</v>
      </c>
      <c r="Y99">
        <v>11.7</v>
      </c>
      <c r="Z99">
        <v>9.1999999999999993</v>
      </c>
      <c r="AA99">
        <v>7.9</v>
      </c>
      <c r="AB99">
        <v>11.5</v>
      </c>
      <c r="AC99" s="8">
        <v>7.8</v>
      </c>
      <c r="AD99">
        <v>7.8</v>
      </c>
      <c r="AE99">
        <v>7.1</v>
      </c>
      <c r="AF99">
        <v>8.6</v>
      </c>
      <c r="AG99">
        <v>10.5</v>
      </c>
      <c r="AH99">
        <v>10.7</v>
      </c>
      <c r="AI99">
        <v>7.8</v>
      </c>
      <c r="AJ99">
        <v>10.7</v>
      </c>
      <c r="AL99">
        <f t="shared" si="15"/>
        <v>9.5441176470588243</v>
      </c>
      <c r="AM99">
        <f t="shared" si="16"/>
        <v>1.9224654588015833</v>
      </c>
      <c r="AO99" s="8">
        <f t="shared" si="17"/>
        <v>3.9157605882352944</v>
      </c>
      <c r="AX99" s="20">
        <f t="shared" si="18"/>
        <v>47.366894463667833</v>
      </c>
      <c r="BB99">
        <v>4.5228571428571414</v>
      </c>
      <c r="BC99">
        <v>1.2061327880963277</v>
      </c>
      <c r="BF99">
        <f t="shared" si="19"/>
        <v>0.47388950033017813</v>
      </c>
    </row>
    <row r="100" spans="1:58">
      <c r="A100" s="7">
        <v>10</v>
      </c>
      <c r="B100">
        <v>10.3</v>
      </c>
      <c r="C100">
        <v>11</v>
      </c>
      <c r="D100">
        <v>8.4</v>
      </c>
      <c r="E100">
        <v>13.6</v>
      </c>
      <c r="F100">
        <v>9.4</v>
      </c>
      <c r="G100">
        <v>9.6999999999999993</v>
      </c>
      <c r="H100">
        <v>14.7</v>
      </c>
      <c r="I100">
        <v>12.6</v>
      </c>
      <c r="J100">
        <v>10.199999999999999</v>
      </c>
      <c r="K100">
        <v>6.8</v>
      </c>
      <c r="L100">
        <v>11.8</v>
      </c>
      <c r="M100">
        <v>10.199999999999999</v>
      </c>
      <c r="N100">
        <v>11.6</v>
      </c>
      <c r="O100">
        <v>10.199999999999999</v>
      </c>
      <c r="P100">
        <v>10.3</v>
      </c>
      <c r="Q100">
        <v>10.3</v>
      </c>
      <c r="R100">
        <v>9.6999999999999993</v>
      </c>
      <c r="S100">
        <v>8.5</v>
      </c>
      <c r="T100">
        <v>11.5</v>
      </c>
      <c r="U100">
        <v>7.6</v>
      </c>
      <c r="V100">
        <v>10.5</v>
      </c>
      <c r="W100">
        <v>9.8000000000000007</v>
      </c>
      <c r="X100">
        <v>9.3000000000000007</v>
      </c>
      <c r="Y100">
        <v>12.4</v>
      </c>
      <c r="Z100">
        <v>8.9</v>
      </c>
      <c r="AA100">
        <v>8.6</v>
      </c>
      <c r="AB100">
        <v>9.6</v>
      </c>
      <c r="AC100" s="8">
        <v>10.3</v>
      </c>
      <c r="AD100">
        <v>9.6</v>
      </c>
      <c r="AE100">
        <v>8.9</v>
      </c>
      <c r="AF100">
        <v>8.9</v>
      </c>
      <c r="AG100">
        <v>7.8</v>
      </c>
      <c r="AH100">
        <v>8.4</v>
      </c>
      <c r="AI100">
        <v>7.2</v>
      </c>
      <c r="AJ100">
        <v>9.3000000000000007</v>
      </c>
      <c r="AL100">
        <f t="shared" si="15"/>
        <v>9.9294117647058826</v>
      </c>
      <c r="AM100">
        <f t="shared" si="16"/>
        <v>1.7460829602569954</v>
      </c>
      <c r="AO100" s="8">
        <f t="shared" si="17"/>
        <v>4.0738390588235296</v>
      </c>
      <c r="AX100" s="20">
        <f t="shared" si="18"/>
        <v>51.268473356401387</v>
      </c>
      <c r="BB100">
        <v>4.6285714285714281</v>
      </c>
      <c r="BC100">
        <v>1.0359909801365927</v>
      </c>
      <c r="BF100">
        <f t="shared" si="19"/>
        <v>0.46614759647935</v>
      </c>
    </row>
    <row r="101" spans="1:58">
      <c r="AN101" s="7" t="s">
        <v>67</v>
      </c>
      <c r="AO101" s="22">
        <f>AVERAGE(AO91:AO100)</f>
        <v>4.1387598352941186</v>
      </c>
    </row>
    <row r="106" spans="1:58">
      <c r="A106" s="10" t="s">
        <v>49</v>
      </c>
      <c r="C106" s="11"/>
      <c r="D106" s="11"/>
      <c r="E106" s="11"/>
      <c r="F106" s="11"/>
      <c r="G106" s="11"/>
    </row>
    <row r="107" spans="1:58">
      <c r="A107" t="s">
        <v>11</v>
      </c>
      <c r="C107">
        <v>1</v>
      </c>
      <c r="D107">
        <v>2</v>
      </c>
      <c r="E107">
        <v>3</v>
      </c>
      <c r="F107">
        <v>4</v>
      </c>
      <c r="G107">
        <v>5</v>
      </c>
      <c r="H107">
        <v>6</v>
      </c>
      <c r="I107">
        <v>7</v>
      </c>
      <c r="J107">
        <v>8</v>
      </c>
      <c r="K107">
        <v>9</v>
      </c>
      <c r="L107">
        <v>10</v>
      </c>
      <c r="M107">
        <v>11</v>
      </c>
      <c r="O107" t="s">
        <v>12</v>
      </c>
      <c r="P107">
        <v>12</v>
      </c>
    </row>
    <row r="108" spans="1:58">
      <c r="A108" t="s">
        <v>13</v>
      </c>
      <c r="C108" s="11">
        <v>0.2883</v>
      </c>
      <c r="D108" s="11">
        <v>1.5184</v>
      </c>
      <c r="E108" s="11">
        <v>1.9945999999999999</v>
      </c>
      <c r="F108" s="11">
        <v>1.2223999999999999</v>
      </c>
      <c r="G108" s="11">
        <v>2.5768</v>
      </c>
      <c r="I108" t="s">
        <v>14</v>
      </c>
      <c r="J108" t="s">
        <v>15</v>
      </c>
      <c r="K108" t="s">
        <v>16</v>
      </c>
      <c r="L108" t="s">
        <v>17</v>
      </c>
      <c r="M108" t="s">
        <v>18</v>
      </c>
      <c r="P108">
        <f t="shared" ref="P108:T115" si="20">(C108-0.1875)/24.579</f>
        <v>4.1010618820944708E-3</v>
      </c>
      <c r="Q108">
        <f t="shared" si="20"/>
        <v>5.414784979047154E-2</v>
      </c>
      <c r="R108">
        <f t="shared" si="20"/>
        <v>7.3522112372350373E-2</v>
      </c>
      <c r="S108">
        <f t="shared" si="20"/>
        <v>4.2105049025590945E-2</v>
      </c>
      <c r="T108">
        <f t="shared" si="20"/>
        <v>9.7208999552463482E-2</v>
      </c>
    </row>
    <row r="109" spans="1:58">
      <c r="A109" t="s">
        <v>19</v>
      </c>
      <c r="B109">
        <v>0.1</v>
      </c>
      <c r="C109" s="11">
        <v>2.6545999999999998</v>
      </c>
      <c r="D109" s="11">
        <v>1.5556000000000001</v>
      </c>
      <c r="E109" s="11">
        <v>2.9363999999999999</v>
      </c>
      <c r="F109" s="11">
        <v>1.2455000000000001</v>
      </c>
      <c r="G109" s="11">
        <v>2.5586000000000002</v>
      </c>
      <c r="I109" s="11">
        <v>0.1</v>
      </c>
      <c r="J109" t="s">
        <v>15</v>
      </c>
      <c r="K109" t="s">
        <v>20</v>
      </c>
      <c r="L109" t="s">
        <v>17</v>
      </c>
      <c r="M109" t="s">
        <v>21</v>
      </c>
      <c r="P109">
        <f t="shared" si="20"/>
        <v>0.10037430326701655</v>
      </c>
      <c r="Q109">
        <f t="shared" si="20"/>
        <v>5.5661336913625452E-2</v>
      </c>
      <c r="R109">
        <f t="shared" si="20"/>
        <v>0.11183937507628462</v>
      </c>
      <c r="S109">
        <f t="shared" si="20"/>
        <v>4.3044875706904268E-2</v>
      </c>
      <c r="T109">
        <f t="shared" si="20"/>
        <v>9.6468530045974207E-2</v>
      </c>
    </row>
    <row r="110" spans="1:58">
      <c r="A110" t="s">
        <v>22</v>
      </c>
      <c r="B110">
        <v>0.06</v>
      </c>
      <c r="C110" s="11">
        <v>1.6638999999999999</v>
      </c>
      <c r="D110" s="11">
        <v>1.5593999999999999</v>
      </c>
      <c r="E110" s="11">
        <v>2.9083999999999999</v>
      </c>
      <c r="F110" s="11">
        <v>2.1223000000000001</v>
      </c>
      <c r="G110" s="11">
        <v>2.5495999999999999</v>
      </c>
      <c r="I110" s="11">
        <v>0.06</v>
      </c>
      <c r="J110" t="s">
        <v>15</v>
      </c>
      <c r="K110" t="s">
        <v>20</v>
      </c>
      <c r="L110" t="s">
        <v>23</v>
      </c>
      <c r="M110" t="s">
        <v>18</v>
      </c>
      <c r="P110">
        <f t="shared" si="20"/>
        <v>6.0067537328613856E-2</v>
      </c>
      <c r="Q110">
        <f t="shared" si="20"/>
        <v>5.5815940436958374E-2</v>
      </c>
      <c r="R110">
        <f t="shared" si="20"/>
        <v>0.11070019122014728</v>
      </c>
      <c r="S110">
        <f t="shared" si="20"/>
        <v>7.8717604459091095E-2</v>
      </c>
      <c r="T110">
        <f t="shared" si="20"/>
        <v>9.6102363806501473E-2</v>
      </c>
    </row>
    <row r="111" spans="1:58">
      <c r="A111" t="s">
        <v>24</v>
      </c>
      <c r="B111">
        <v>0.03</v>
      </c>
      <c r="C111" s="11">
        <v>0.89049999999999996</v>
      </c>
      <c r="D111" s="11">
        <v>2.9538000000000002</v>
      </c>
      <c r="E111" s="11">
        <v>2.9154</v>
      </c>
      <c r="F111" s="11">
        <v>2.1739000000000002</v>
      </c>
      <c r="G111" s="11">
        <v>1.9484999999999999</v>
      </c>
      <c r="I111" s="11">
        <v>0.03</v>
      </c>
      <c r="J111" t="s">
        <v>25</v>
      </c>
      <c r="K111" t="s">
        <v>20</v>
      </c>
      <c r="L111" t="s">
        <v>23</v>
      </c>
      <c r="M111" t="s">
        <v>26</v>
      </c>
      <c r="P111">
        <f t="shared" si="20"/>
        <v>2.8601651816591397E-2</v>
      </c>
      <c r="Q111">
        <f t="shared" si="20"/>
        <v>0.11254729647259856</v>
      </c>
      <c r="R111">
        <f t="shared" si="20"/>
        <v>0.11098498718418162</v>
      </c>
      <c r="S111">
        <f t="shared" si="20"/>
        <v>8.0816957565401359E-2</v>
      </c>
      <c r="T111">
        <f t="shared" si="20"/>
        <v>7.1646527523495665E-2</v>
      </c>
    </row>
    <row r="112" spans="1:58">
      <c r="A112" t="s">
        <v>27</v>
      </c>
      <c r="B112">
        <v>0</v>
      </c>
      <c r="C112" s="11">
        <v>0.21079999999999999</v>
      </c>
      <c r="D112" s="11">
        <v>2.9601999999999999</v>
      </c>
      <c r="E112" s="11">
        <v>2.8041999999999998</v>
      </c>
      <c r="F112" s="11">
        <v>2.1025999999999998</v>
      </c>
      <c r="G112" s="11">
        <v>1.9869000000000001</v>
      </c>
      <c r="I112" s="11">
        <v>0</v>
      </c>
      <c r="J112" t="s">
        <v>25</v>
      </c>
      <c r="K112" t="s">
        <v>28</v>
      </c>
      <c r="L112" t="s">
        <v>23</v>
      </c>
      <c r="M112" t="s">
        <v>26</v>
      </c>
      <c r="P112">
        <f t="shared" si="20"/>
        <v>9.4796370885715398E-4</v>
      </c>
      <c r="Q112">
        <f t="shared" si="20"/>
        <v>0.11280768135400138</v>
      </c>
      <c r="R112">
        <f t="shared" si="20"/>
        <v>0.10646079986980755</v>
      </c>
      <c r="S112">
        <f t="shared" si="20"/>
        <v>7.791610724602302E-2</v>
      </c>
      <c r="T112">
        <f t="shared" si="20"/>
        <v>7.3208836811912606E-2</v>
      </c>
    </row>
    <row r="113" spans="1:29">
      <c r="A113" t="s">
        <v>29</v>
      </c>
      <c r="C113" s="11">
        <v>0.3291</v>
      </c>
      <c r="D113" s="11">
        <v>2.9518</v>
      </c>
      <c r="E113" s="11">
        <v>2.8024</v>
      </c>
      <c r="F113" s="11">
        <v>1.2222</v>
      </c>
      <c r="G113" s="11">
        <v>1.9395</v>
      </c>
      <c r="I113" t="s">
        <v>30</v>
      </c>
      <c r="J113" t="s">
        <v>31</v>
      </c>
      <c r="K113" t="s">
        <v>28</v>
      </c>
      <c r="L113" t="s">
        <v>32</v>
      </c>
      <c r="M113" t="s">
        <v>33</v>
      </c>
      <c r="P113">
        <f t="shared" si="20"/>
        <v>5.7610155010374706E-3</v>
      </c>
      <c r="Q113">
        <f t="shared" si="20"/>
        <v>0.11246592619716017</v>
      </c>
      <c r="R113">
        <f t="shared" si="20"/>
        <v>0.10638756662191301</v>
      </c>
      <c r="S113">
        <f t="shared" si="20"/>
        <v>4.2096911998047111E-2</v>
      </c>
      <c r="T113">
        <f t="shared" si="20"/>
        <v>7.1280361284022944E-2</v>
      </c>
    </row>
    <row r="114" spans="1:29">
      <c r="A114" t="s">
        <v>34</v>
      </c>
      <c r="C114" s="11">
        <v>0.2671</v>
      </c>
      <c r="D114" s="11">
        <v>1.9515</v>
      </c>
      <c r="E114" s="11">
        <v>2.8159999999999998</v>
      </c>
      <c r="F114" s="11">
        <v>1.3948</v>
      </c>
      <c r="G114" s="11"/>
      <c r="I114" t="s">
        <v>30</v>
      </c>
      <c r="J114" t="s">
        <v>16</v>
      </c>
      <c r="K114" t="s">
        <v>28</v>
      </c>
      <c r="L114" t="s">
        <v>32</v>
      </c>
      <c r="P114">
        <f t="shared" si="20"/>
        <v>3.2385369624476179E-3</v>
      </c>
      <c r="Q114">
        <f t="shared" si="20"/>
        <v>7.1768582936653239E-2</v>
      </c>
      <c r="R114">
        <f t="shared" si="20"/>
        <v>0.106940884494894</v>
      </c>
      <c r="S114">
        <f t="shared" si="20"/>
        <v>4.9119166768379512E-2</v>
      </c>
    </row>
    <row r="115" spans="1:29">
      <c r="A115" t="s">
        <v>35</v>
      </c>
      <c r="C115" s="11">
        <v>0.31469999999999998</v>
      </c>
      <c r="D115" s="11">
        <v>1.9021999999999999</v>
      </c>
      <c r="E115" s="11">
        <v>1.2297</v>
      </c>
      <c r="F115" s="11">
        <v>1.1758</v>
      </c>
      <c r="G115" s="11"/>
      <c r="I115" t="s">
        <v>30</v>
      </c>
      <c r="J115" t="s">
        <v>16</v>
      </c>
      <c r="K115" t="s">
        <v>17</v>
      </c>
      <c r="L115" t="s">
        <v>32</v>
      </c>
      <c r="P115">
        <f t="shared" si="20"/>
        <v>5.1751495178811169E-3</v>
      </c>
      <c r="Q115">
        <f t="shared" si="20"/>
        <v>6.9762805647097109E-2</v>
      </c>
      <c r="R115">
        <f t="shared" si="20"/>
        <v>4.2402050530941045E-2</v>
      </c>
      <c r="S115">
        <f t="shared" si="20"/>
        <v>4.0209121607876638E-2</v>
      </c>
    </row>
    <row r="116" spans="1:29">
      <c r="C116" s="11"/>
      <c r="D116" s="11"/>
      <c r="E116" s="11"/>
      <c r="F116" s="11"/>
      <c r="G116" s="11"/>
      <c r="AC116" s="8" t="s">
        <v>36</v>
      </c>
    </row>
    <row r="117" spans="1:29">
      <c r="C117" s="11"/>
      <c r="D117" s="11"/>
      <c r="E117" s="11"/>
      <c r="F117" s="11"/>
      <c r="G117" s="11"/>
      <c r="O117" t="s">
        <v>37</v>
      </c>
      <c r="Y117" t="s">
        <v>38</v>
      </c>
      <c r="Z117" t="s">
        <v>39</v>
      </c>
      <c r="AB117" t="s">
        <v>40</v>
      </c>
      <c r="AC117" s="8" t="s">
        <v>41</v>
      </c>
    </row>
    <row r="118" spans="1:29">
      <c r="C118" s="11"/>
      <c r="D118" s="11"/>
      <c r="E118" s="11"/>
      <c r="F118" s="11"/>
      <c r="G118" s="11"/>
      <c r="P118">
        <f t="shared" ref="P118:T125" si="21">170/1*P108</f>
        <v>0.69718051995606001</v>
      </c>
      <c r="Q118" s="4">
        <f t="shared" si="21"/>
        <v>9.205134464380162</v>
      </c>
      <c r="R118" s="5">
        <f t="shared" si="21"/>
        <v>12.498759103299564</v>
      </c>
      <c r="S118" s="12">
        <f t="shared" si="21"/>
        <v>7.1578583343504603</v>
      </c>
      <c r="T118" s="13">
        <f t="shared" si="21"/>
        <v>16.525529923918793</v>
      </c>
      <c r="Y118">
        <f>AVERAGE(Q118:Q120)</f>
        <v>9.3854238713264717</v>
      </c>
      <c r="Z118">
        <f>STDEV(Q118:Q120)</f>
        <v>0.15668725680443343</v>
      </c>
      <c r="AB118">
        <f>Y118/1000</f>
        <v>9.3854238713264714E-3</v>
      </c>
      <c r="AC118" s="8">
        <f>AB118*46.0684</f>
        <v>0.43237146107381641</v>
      </c>
    </row>
    <row r="119" spans="1:29">
      <c r="C119" s="11"/>
      <c r="D119" s="11"/>
      <c r="E119" s="11"/>
      <c r="F119" s="11"/>
      <c r="G119" s="1" t="s">
        <v>743</v>
      </c>
      <c r="I119" s="164" t="s">
        <v>733</v>
      </c>
      <c r="J119" s="154"/>
      <c r="O119" t="s">
        <v>42</v>
      </c>
      <c r="P119">
        <f t="shared" si="21"/>
        <v>17.063631555392814</v>
      </c>
      <c r="Q119" s="4">
        <f t="shared" si="21"/>
        <v>9.4624272753163261</v>
      </c>
      <c r="R119" s="6">
        <f t="shared" si="21"/>
        <v>19.012693762968386</v>
      </c>
      <c r="S119" s="12">
        <f t="shared" si="21"/>
        <v>7.3176288701737251</v>
      </c>
      <c r="T119" s="13">
        <f t="shared" si="21"/>
        <v>16.399650107815614</v>
      </c>
      <c r="Y119">
        <f>AVERAGE(Q121:Q123)</f>
        <v>19.143184561346406</v>
      </c>
      <c r="Z119">
        <f>STDEV(Q121:Q123)</f>
        <v>3.0348531176735541E-2</v>
      </c>
      <c r="AB119">
        <f t="shared" ref="AB119:AB127" si="22">Y119/1000</f>
        <v>1.9143184561346404E-2</v>
      </c>
      <c r="AC119" s="8">
        <f t="shared" ref="AC119:AC127" si="23">AB119*46.0684</f>
        <v>0.88189588364593063</v>
      </c>
    </row>
    <row r="120" spans="1:29">
      <c r="C120" s="11"/>
      <c r="D120" s="11"/>
      <c r="E120" s="11"/>
      <c r="F120" s="11"/>
      <c r="I120" s="164" t="s">
        <v>734</v>
      </c>
      <c r="J120" s="155"/>
      <c r="P120">
        <f t="shared" si="21"/>
        <v>10.211481345864355</v>
      </c>
      <c r="Q120" s="4">
        <f t="shared" si="21"/>
        <v>9.4887098742829235</v>
      </c>
      <c r="R120" s="6">
        <f t="shared" si="21"/>
        <v>18.819032507425039</v>
      </c>
      <c r="S120" s="14">
        <f t="shared" si="21"/>
        <v>13.381992758045486</v>
      </c>
      <c r="T120" s="13">
        <f t="shared" si="21"/>
        <v>16.337401847105252</v>
      </c>
      <c r="W120" s="8"/>
      <c r="Y120">
        <f>AVERAGE(Q124:Q125,R118)</f>
        <v>12.18636505417904</v>
      </c>
      <c r="Z120">
        <f>STDEV(Q124:Q125,R118)</f>
        <v>0.31978076280785422</v>
      </c>
      <c r="AB120">
        <f t="shared" si="22"/>
        <v>1.2186365054179041E-2</v>
      </c>
      <c r="AC120" s="8">
        <f t="shared" si="23"/>
        <v>0.56140633986194166</v>
      </c>
    </row>
    <row r="121" spans="1:29">
      <c r="C121" s="11"/>
      <c r="D121" s="11"/>
      <c r="E121" s="11"/>
      <c r="F121" s="11"/>
      <c r="I121" s="164" t="s">
        <v>735</v>
      </c>
      <c r="J121" s="156"/>
      <c r="P121">
        <f t="shared" si="21"/>
        <v>4.8622808088205378</v>
      </c>
      <c r="Q121" s="3">
        <f t="shared" si="21"/>
        <v>19.133040400341756</v>
      </c>
      <c r="R121" s="6">
        <f t="shared" si="21"/>
        <v>18.867447821310876</v>
      </c>
      <c r="S121" s="14">
        <f t="shared" si="21"/>
        <v>13.73888278611823</v>
      </c>
      <c r="T121" s="15">
        <f t="shared" si="21"/>
        <v>12.179909678994264</v>
      </c>
      <c r="W121" s="8"/>
      <c r="Y121">
        <f>AVERAGE(R119:R121)</f>
        <v>18.899724697234767</v>
      </c>
      <c r="Z121">
        <f>STDEV(R119:R121)</f>
        <v>0.1007845127696269</v>
      </c>
      <c r="AB121">
        <f t="shared" si="22"/>
        <v>1.8899724697234766E-2</v>
      </c>
      <c r="AC121" s="8">
        <f t="shared" si="23"/>
        <v>0.87068007724209007</v>
      </c>
    </row>
    <row r="122" spans="1:29">
      <c r="C122" s="11"/>
      <c r="D122" s="11"/>
      <c r="E122" s="11"/>
      <c r="F122" s="11"/>
      <c r="I122" s="164" t="s">
        <v>736</v>
      </c>
      <c r="J122" s="158"/>
      <c r="P122" s="8">
        <f t="shared" si="21"/>
        <v>0.16115383050571619</v>
      </c>
      <c r="Q122" s="3">
        <f t="shared" si="21"/>
        <v>19.177305830180234</v>
      </c>
      <c r="R122" s="16">
        <f t="shared" si="21"/>
        <v>18.098335977867283</v>
      </c>
      <c r="S122" s="14">
        <f t="shared" si="21"/>
        <v>13.245738231823914</v>
      </c>
      <c r="T122" s="15">
        <f t="shared" si="21"/>
        <v>12.445502258025144</v>
      </c>
      <c r="W122" s="8"/>
      <c r="Y122">
        <f>AVERAGE(R122:R124)</f>
        <v>18.121390889241493</v>
      </c>
      <c r="Z122">
        <f>STDEV(R122:R124)</f>
        <v>5.1094593982161193E-2</v>
      </c>
      <c r="AB122">
        <f t="shared" si="22"/>
        <v>1.8121390889241494E-2</v>
      </c>
      <c r="AC122" s="8">
        <f t="shared" si="23"/>
        <v>0.83482348404193274</v>
      </c>
    </row>
    <row r="123" spans="1:29">
      <c r="C123" s="11"/>
      <c r="D123" s="11"/>
      <c r="E123" s="11"/>
      <c r="F123" s="11"/>
      <c r="I123" s="164" t="s">
        <v>737</v>
      </c>
      <c r="J123" s="160"/>
      <c r="P123" s="8">
        <f t="shared" si="21"/>
        <v>0.97937263517636997</v>
      </c>
      <c r="Q123" s="3">
        <f t="shared" si="21"/>
        <v>19.11920745351723</v>
      </c>
      <c r="R123" s="16">
        <f t="shared" si="21"/>
        <v>18.085886325725212</v>
      </c>
      <c r="S123" s="17">
        <f t="shared" si="21"/>
        <v>7.1564750396680088</v>
      </c>
      <c r="T123" s="15">
        <f t="shared" si="21"/>
        <v>12.1176614182839</v>
      </c>
      <c r="W123" s="8"/>
      <c r="Y123">
        <f>AVERAGE(R125,S118,S119)</f>
        <v>7.2279452649280538</v>
      </c>
      <c r="Z123">
        <f>STDEV(R125,S118,S119)</f>
        <v>8.1668098256590466E-2</v>
      </c>
      <c r="AB123">
        <f t="shared" si="22"/>
        <v>7.2279452649280538E-3</v>
      </c>
      <c r="AC123" s="8">
        <f t="shared" si="23"/>
        <v>0.33297987364281151</v>
      </c>
    </row>
    <row r="124" spans="1:29">
      <c r="C124" s="11"/>
      <c r="D124" s="11"/>
      <c r="E124" s="11"/>
      <c r="F124" s="11"/>
      <c r="I124" s="164" t="s">
        <v>738</v>
      </c>
      <c r="J124" s="161"/>
      <c r="P124" s="8">
        <f t="shared" si="21"/>
        <v>0.55055128361609507</v>
      </c>
      <c r="Q124" s="5">
        <f t="shared" si="21"/>
        <v>12.20065909923105</v>
      </c>
      <c r="R124" s="16">
        <f t="shared" si="21"/>
        <v>18.17995036413198</v>
      </c>
      <c r="S124" s="17">
        <f t="shared" si="21"/>
        <v>8.3502583506245163</v>
      </c>
      <c r="W124" s="8"/>
      <c r="Y124">
        <f>AVERAGE(S120:S122)</f>
        <v>13.45553792532921</v>
      </c>
      <c r="Z124">
        <f>STDEV(S120:S122)</f>
        <v>0.2546655779264802</v>
      </c>
      <c r="AB124">
        <f t="shared" si="22"/>
        <v>1.3455537925329211E-2</v>
      </c>
      <c r="AC124" s="8">
        <f t="shared" si="23"/>
        <v>0.61987510335923612</v>
      </c>
    </row>
    <row r="125" spans="1:29">
      <c r="C125" s="11"/>
      <c r="D125" s="11"/>
      <c r="E125" s="11"/>
      <c r="F125" s="11"/>
      <c r="I125" s="164" t="s">
        <v>739</v>
      </c>
      <c r="J125" s="163"/>
      <c r="P125" s="8">
        <f t="shared" si="21"/>
        <v>0.87977541803978987</v>
      </c>
      <c r="Q125" s="5">
        <f t="shared" si="21"/>
        <v>11.859676960006508</v>
      </c>
      <c r="R125" s="12">
        <f t="shared" si="21"/>
        <v>7.2083485902599778</v>
      </c>
      <c r="S125" s="17">
        <f t="shared" si="21"/>
        <v>6.8355506733390285</v>
      </c>
      <c r="W125" s="8"/>
      <c r="Y125">
        <f>AVERAGE(S123:S125)</f>
        <v>7.4474280212105173</v>
      </c>
      <c r="Z125">
        <f>STDEV(S123:S125)</f>
        <v>0.79816982216083321</v>
      </c>
      <c r="AB125">
        <f t="shared" si="22"/>
        <v>7.4474280212105176E-3</v>
      </c>
      <c r="AC125" s="8">
        <f t="shared" si="23"/>
        <v>0.34309109305233459</v>
      </c>
    </row>
    <row r="126" spans="1:29">
      <c r="C126" s="11"/>
      <c r="D126" s="11"/>
      <c r="E126" s="11"/>
      <c r="F126" s="11"/>
      <c r="I126" s="164" t="s">
        <v>740</v>
      </c>
      <c r="J126" s="162"/>
      <c r="Y126">
        <f>AVERAGE(T118:T120)</f>
        <v>16.420860626279886</v>
      </c>
      <c r="Z126">
        <f>STDEV(T118:T120)</f>
        <v>9.5840794505955756E-2</v>
      </c>
      <c r="AB126">
        <f t="shared" si="22"/>
        <v>1.6420860626279885E-2</v>
      </c>
      <c r="AC126" s="8">
        <f t="shared" si="23"/>
        <v>0.7564827756757122</v>
      </c>
    </row>
    <row r="127" spans="1:29">
      <c r="C127" s="11"/>
      <c r="D127" s="11"/>
      <c r="E127" s="11"/>
      <c r="F127" s="11"/>
      <c r="I127" s="164" t="s">
        <v>741</v>
      </c>
      <c r="J127" s="159"/>
      <c r="O127" t="s">
        <v>43</v>
      </c>
      <c r="P127">
        <f t="shared" ref="P127:T134" si="24">785/1*P108</f>
        <v>3.2193335774441598</v>
      </c>
      <c r="Q127">
        <f t="shared" si="24"/>
        <v>42.506062085520156</v>
      </c>
      <c r="R127">
        <f t="shared" si="24"/>
        <v>57.714858212295042</v>
      </c>
      <c r="S127">
        <f t="shared" si="24"/>
        <v>33.052463485088893</v>
      </c>
      <c r="T127">
        <f t="shared" si="24"/>
        <v>76.30906464868383</v>
      </c>
      <c r="Y127">
        <f>AVERAGE(T121:T123)</f>
        <v>12.247691118434437</v>
      </c>
      <c r="Z127">
        <f>STDEV(T121:T123)</f>
        <v>0.17411389002603225</v>
      </c>
      <c r="AB127">
        <f t="shared" si="22"/>
        <v>1.2247691118434437E-2</v>
      </c>
      <c r="AC127" s="8">
        <f t="shared" si="23"/>
        <v>0.56423153352048505</v>
      </c>
    </row>
    <row r="128" spans="1:29">
      <c r="C128" s="11"/>
      <c r="D128" s="11"/>
      <c r="E128" s="11"/>
      <c r="F128" s="11"/>
      <c r="I128" s="164" t="s">
        <v>742</v>
      </c>
      <c r="J128" s="157"/>
      <c r="P128">
        <f t="shared" si="24"/>
        <v>78.793828064607993</v>
      </c>
      <c r="Q128">
        <f t="shared" si="24"/>
        <v>43.694149477195978</v>
      </c>
      <c r="R128">
        <f t="shared" si="24"/>
        <v>87.793909434883432</v>
      </c>
      <c r="S128">
        <f t="shared" si="24"/>
        <v>33.790227429919852</v>
      </c>
      <c r="T128">
        <f t="shared" si="24"/>
        <v>75.727796086089754</v>
      </c>
    </row>
    <row r="129" spans="1:29">
      <c r="C129" s="11"/>
      <c r="D129" s="11"/>
      <c r="E129" s="11"/>
      <c r="F129" s="11"/>
      <c r="G129" s="11"/>
      <c r="P129">
        <f t="shared" si="24"/>
        <v>47.153016802961879</v>
      </c>
      <c r="Q129">
        <f t="shared" si="24"/>
        <v>43.815513243012326</v>
      </c>
      <c r="R129">
        <f t="shared" si="24"/>
        <v>86.899650107815617</v>
      </c>
      <c r="S129">
        <f t="shared" si="24"/>
        <v>61.793319500386509</v>
      </c>
      <c r="T129">
        <f t="shared" si="24"/>
        <v>75.440355588103657</v>
      </c>
      <c r="AA129" t="s">
        <v>44</v>
      </c>
      <c r="AC129" s="8">
        <f>AVERAGE(AC118:AC127)</f>
        <v>0.61978376251162914</v>
      </c>
    </row>
    <row r="130" spans="1:29">
      <c r="C130" s="11"/>
      <c r="D130" s="11"/>
      <c r="E130" s="11"/>
      <c r="F130" s="11"/>
      <c r="G130" s="11"/>
      <c r="P130">
        <f t="shared" si="24"/>
        <v>22.452296676024247</v>
      </c>
      <c r="Q130">
        <f t="shared" si="24"/>
        <v>88.349627730989866</v>
      </c>
      <c r="R130">
        <f t="shared" si="24"/>
        <v>87.123214939582567</v>
      </c>
      <c r="S130">
        <f t="shared" si="24"/>
        <v>63.441311688840067</v>
      </c>
      <c r="T130">
        <f t="shared" si="24"/>
        <v>56.242524105944099</v>
      </c>
    </row>
    <row r="131" spans="1:29">
      <c r="C131" s="11"/>
      <c r="D131" s="11"/>
      <c r="E131" s="11"/>
      <c r="F131" s="11"/>
      <c r="G131" s="11"/>
      <c r="P131">
        <f t="shared" si="24"/>
        <v>0.74415151145286584</v>
      </c>
      <c r="Q131">
        <f t="shared" si="24"/>
        <v>88.554029862891085</v>
      </c>
      <c r="R131">
        <f t="shared" si="24"/>
        <v>83.571727897798937</v>
      </c>
      <c r="S131">
        <f t="shared" si="24"/>
        <v>61.16414418812807</v>
      </c>
      <c r="T131">
        <f t="shared" si="24"/>
        <v>57.468936897351398</v>
      </c>
    </row>
    <row r="132" spans="1:29">
      <c r="P132">
        <f t="shared" si="24"/>
        <v>4.5223971683144146</v>
      </c>
      <c r="Q132">
        <f t="shared" si="24"/>
        <v>88.285752064770733</v>
      </c>
      <c r="R132">
        <f t="shared" si="24"/>
        <v>83.514239798201714</v>
      </c>
      <c r="S132">
        <f t="shared" si="24"/>
        <v>33.046075918466983</v>
      </c>
      <c r="T132">
        <f t="shared" si="24"/>
        <v>55.955083607958009</v>
      </c>
    </row>
    <row r="133" spans="1:29">
      <c r="P133">
        <f t="shared" si="24"/>
        <v>2.5422515155213801</v>
      </c>
      <c r="Q133">
        <f t="shared" si="24"/>
        <v>56.338337605272791</v>
      </c>
      <c r="R133">
        <f t="shared" si="24"/>
        <v>83.948594328491794</v>
      </c>
      <c r="S133">
        <f t="shared" si="24"/>
        <v>38.558545913177916</v>
      </c>
    </row>
    <row r="134" spans="1:29">
      <c r="P134">
        <f t="shared" si="24"/>
        <v>4.0624923715366767</v>
      </c>
      <c r="Q134">
        <f t="shared" si="24"/>
        <v>54.763802432971232</v>
      </c>
      <c r="R134">
        <f t="shared" si="24"/>
        <v>33.285609666788723</v>
      </c>
      <c r="S134">
        <f t="shared" si="24"/>
        <v>31.56416046218316</v>
      </c>
    </row>
    <row r="139" spans="1:29">
      <c r="A139" s="10" t="s">
        <v>50</v>
      </c>
      <c r="C139" s="11"/>
      <c r="D139" s="11"/>
      <c r="E139" s="11"/>
      <c r="F139" s="11"/>
      <c r="G139" s="11"/>
    </row>
    <row r="140" spans="1:29">
      <c r="A140" t="s">
        <v>11</v>
      </c>
      <c r="C140">
        <v>1</v>
      </c>
      <c r="D140">
        <v>2</v>
      </c>
      <c r="E140">
        <v>3</v>
      </c>
      <c r="F140">
        <v>4</v>
      </c>
      <c r="G140">
        <v>5</v>
      </c>
      <c r="H140">
        <v>6</v>
      </c>
      <c r="I140">
        <v>7</v>
      </c>
      <c r="J140">
        <v>8</v>
      </c>
      <c r="K140">
        <v>9</v>
      </c>
      <c r="L140">
        <v>10</v>
      </c>
      <c r="M140">
        <v>11</v>
      </c>
      <c r="O140" t="s">
        <v>12</v>
      </c>
      <c r="P140">
        <v>12</v>
      </c>
    </row>
    <row r="141" spans="1:29">
      <c r="A141" t="s">
        <v>13</v>
      </c>
      <c r="C141" s="11">
        <v>0.2883</v>
      </c>
      <c r="D141" s="11">
        <v>0.51839999999999997</v>
      </c>
      <c r="E141" s="11">
        <v>0.39460000000000001</v>
      </c>
      <c r="F141" s="11">
        <v>0.72240000000000004</v>
      </c>
      <c r="G141" s="11">
        <v>0.57679999999999998</v>
      </c>
      <c r="I141" t="s">
        <v>14</v>
      </c>
      <c r="J141" t="s">
        <v>15</v>
      </c>
      <c r="K141" t="s">
        <v>16</v>
      </c>
      <c r="L141" t="s">
        <v>17</v>
      </c>
      <c r="M141" t="s">
        <v>18</v>
      </c>
      <c r="P141">
        <f t="shared" ref="P141:T148" si="25">(C141-0.1875)/24.579</f>
        <v>4.1010618820944708E-3</v>
      </c>
      <c r="Q141">
        <f t="shared" si="25"/>
        <v>1.346271207128036E-2</v>
      </c>
      <c r="R141">
        <f t="shared" si="25"/>
        <v>8.4258920216444926E-3</v>
      </c>
      <c r="S141">
        <f t="shared" si="25"/>
        <v>2.1762480165995364E-2</v>
      </c>
      <c r="T141">
        <f t="shared" si="25"/>
        <v>1.5838724114081125E-2</v>
      </c>
    </row>
    <row r="142" spans="1:29">
      <c r="A142" t="s">
        <v>19</v>
      </c>
      <c r="B142">
        <v>0.1</v>
      </c>
      <c r="C142" s="11">
        <v>2.6545999999999998</v>
      </c>
      <c r="D142" s="11">
        <v>0.55559999999999998</v>
      </c>
      <c r="E142" s="11">
        <v>0.29364000000000001</v>
      </c>
      <c r="F142" s="11">
        <v>0.74550000000000005</v>
      </c>
      <c r="G142" s="11">
        <v>0.55859999999999999</v>
      </c>
      <c r="I142" s="11">
        <v>0.1</v>
      </c>
      <c r="J142" t="s">
        <v>15</v>
      </c>
      <c r="K142" t="s">
        <v>20</v>
      </c>
      <c r="L142" t="s">
        <v>17</v>
      </c>
      <c r="M142" t="s">
        <v>21</v>
      </c>
      <c r="P142">
        <f t="shared" si="25"/>
        <v>0.10037430326701655</v>
      </c>
      <c r="Q142">
        <f t="shared" si="25"/>
        <v>1.4976199194434272E-2</v>
      </c>
      <c r="R142">
        <f t="shared" si="25"/>
        <v>4.3183205175149524E-3</v>
      </c>
      <c r="S142">
        <f t="shared" si="25"/>
        <v>2.270230684730868E-2</v>
      </c>
      <c r="T142">
        <f t="shared" si="25"/>
        <v>1.5098254607591845E-2</v>
      </c>
    </row>
    <row r="143" spans="1:29">
      <c r="A143" t="s">
        <v>22</v>
      </c>
      <c r="B143">
        <v>0.06</v>
      </c>
      <c r="C143" s="11">
        <v>1.6638999999999999</v>
      </c>
      <c r="D143" s="11">
        <v>0.55940000000000001</v>
      </c>
      <c r="E143" s="11">
        <v>0.25084000000000001</v>
      </c>
      <c r="F143" s="11">
        <v>0.12230000000000001</v>
      </c>
      <c r="G143" s="11">
        <v>0.54959999999999998</v>
      </c>
      <c r="I143" s="11">
        <v>0.06</v>
      </c>
      <c r="J143" t="s">
        <v>15</v>
      </c>
      <c r="K143" t="s">
        <v>20</v>
      </c>
      <c r="L143" t="s">
        <v>23</v>
      </c>
      <c r="M143" t="s">
        <v>18</v>
      </c>
      <c r="P143">
        <f t="shared" si="25"/>
        <v>6.0067537328613856E-2</v>
      </c>
      <c r="Q143">
        <f t="shared" si="25"/>
        <v>1.51308027177672E-2</v>
      </c>
      <c r="R143">
        <f t="shared" si="25"/>
        <v>2.5769966231335697E-3</v>
      </c>
      <c r="S143">
        <f t="shared" si="25"/>
        <v>-2.6526709792912646E-3</v>
      </c>
      <c r="T143">
        <f t="shared" si="25"/>
        <v>1.4732088368119125E-2</v>
      </c>
    </row>
    <row r="144" spans="1:29">
      <c r="A144" t="s">
        <v>24</v>
      </c>
      <c r="B144">
        <v>0.03</v>
      </c>
      <c r="C144" s="11">
        <v>0.89049999999999996</v>
      </c>
      <c r="D144" s="11">
        <v>0.45379999999999998</v>
      </c>
      <c r="E144" s="11">
        <v>0.21540000000000001</v>
      </c>
      <c r="F144" s="11">
        <v>0.1739</v>
      </c>
      <c r="G144" s="11">
        <v>0.2485</v>
      </c>
      <c r="I144" s="11">
        <v>0.03</v>
      </c>
      <c r="J144" t="s">
        <v>25</v>
      </c>
      <c r="K144" t="s">
        <v>20</v>
      </c>
      <c r="L144" t="s">
        <v>23</v>
      </c>
      <c r="M144" t="s">
        <v>26</v>
      </c>
      <c r="P144">
        <f t="shared" si="25"/>
        <v>2.8601651816591397E-2</v>
      </c>
      <c r="Q144">
        <f t="shared" si="25"/>
        <v>1.0834452174620609E-2</v>
      </c>
      <c r="R144">
        <f t="shared" si="25"/>
        <v>1.1351153423654343E-3</v>
      </c>
      <c r="S144">
        <f t="shared" si="25"/>
        <v>-5.533178729810001E-4</v>
      </c>
      <c r="T144">
        <f t="shared" si="25"/>
        <v>2.4817934008706617E-3</v>
      </c>
    </row>
    <row r="145" spans="1:29">
      <c r="A145" t="s">
        <v>27</v>
      </c>
      <c r="B145">
        <v>0</v>
      </c>
      <c r="C145" s="11">
        <v>0.21079999999999999</v>
      </c>
      <c r="D145" s="11">
        <v>0.4602</v>
      </c>
      <c r="E145" s="11">
        <v>1.042E-2</v>
      </c>
      <c r="F145" s="11">
        <v>0.1026</v>
      </c>
      <c r="G145" s="11">
        <v>0.18690000000000001</v>
      </c>
      <c r="I145" s="11">
        <v>0</v>
      </c>
      <c r="J145" t="s">
        <v>25</v>
      </c>
      <c r="K145" t="s">
        <v>28</v>
      </c>
      <c r="L145" t="s">
        <v>23</v>
      </c>
      <c r="M145" t="s">
        <v>26</v>
      </c>
      <c r="P145">
        <f t="shared" si="25"/>
        <v>9.4796370885715398E-4</v>
      </c>
      <c r="Q145">
        <f t="shared" si="25"/>
        <v>1.1094837056023434E-2</v>
      </c>
      <c r="R145">
        <f t="shared" si="25"/>
        <v>-7.2045241873143736E-3</v>
      </c>
      <c r="S145">
        <f t="shared" si="25"/>
        <v>-3.4541681923593312E-3</v>
      </c>
      <c r="T145">
        <f t="shared" si="25"/>
        <v>-2.4411082631514275E-5</v>
      </c>
    </row>
    <row r="146" spans="1:29">
      <c r="A146" t="s">
        <v>29</v>
      </c>
      <c r="C146" s="11">
        <v>0.3291</v>
      </c>
      <c r="D146" s="11">
        <v>0.45179999999999998</v>
      </c>
      <c r="E146" s="11">
        <v>1.0240000000000001E-2</v>
      </c>
      <c r="F146" s="11">
        <v>0.82220000000000004</v>
      </c>
      <c r="G146" s="11">
        <v>0.4395</v>
      </c>
      <c r="I146" t="s">
        <v>30</v>
      </c>
      <c r="J146" t="s">
        <v>31</v>
      </c>
      <c r="K146" t="s">
        <v>28</v>
      </c>
      <c r="L146" t="s">
        <v>32</v>
      </c>
      <c r="M146" t="s">
        <v>33</v>
      </c>
      <c r="P146">
        <f t="shared" si="25"/>
        <v>5.7610155010374706E-3</v>
      </c>
      <c r="Q146">
        <f t="shared" si="25"/>
        <v>1.0753081899182228E-2</v>
      </c>
      <c r="R146">
        <f t="shared" si="25"/>
        <v>-7.2118475121038285E-3</v>
      </c>
      <c r="S146">
        <f t="shared" si="25"/>
        <v>2.5822856910370642E-2</v>
      </c>
      <c r="T146">
        <f t="shared" si="25"/>
        <v>1.0252654705236177E-2</v>
      </c>
    </row>
    <row r="147" spans="1:29">
      <c r="A147" t="s">
        <v>34</v>
      </c>
      <c r="C147" s="11">
        <v>0.2671</v>
      </c>
      <c r="D147" s="11">
        <v>0.35149999999999998</v>
      </c>
      <c r="E147" s="11">
        <v>1.0160000000000001E-2</v>
      </c>
      <c r="F147" s="11">
        <v>0.89480000000000004</v>
      </c>
      <c r="G147" s="11"/>
      <c r="I147" t="s">
        <v>30</v>
      </c>
      <c r="J147" t="s">
        <v>16</v>
      </c>
      <c r="K147" t="s">
        <v>28</v>
      </c>
      <c r="L147" t="s">
        <v>32</v>
      </c>
      <c r="P147">
        <f t="shared" si="25"/>
        <v>3.2385369624476179E-3</v>
      </c>
      <c r="Q147">
        <f t="shared" si="25"/>
        <v>6.6723625859473525E-3</v>
      </c>
      <c r="R147">
        <f t="shared" si="25"/>
        <v>-7.2151023231213631E-3</v>
      </c>
      <c r="S147">
        <f t="shared" si="25"/>
        <v>2.8776597908783921E-2</v>
      </c>
    </row>
    <row r="148" spans="1:29">
      <c r="A148" t="s">
        <v>35</v>
      </c>
      <c r="C148" s="11">
        <v>0.31469999999999998</v>
      </c>
      <c r="D148" s="11">
        <v>0.30220000000000002</v>
      </c>
      <c r="E148" s="11">
        <v>0.72970000000000002</v>
      </c>
      <c r="F148" s="11">
        <v>0.87580000000000002</v>
      </c>
      <c r="G148" s="11"/>
      <c r="I148" t="s">
        <v>30</v>
      </c>
      <c r="J148" t="s">
        <v>16</v>
      </c>
      <c r="K148" t="s">
        <v>17</v>
      </c>
      <c r="L148" t="s">
        <v>32</v>
      </c>
      <c r="P148">
        <f t="shared" si="25"/>
        <v>5.1751495178811169E-3</v>
      </c>
      <c r="Q148">
        <f t="shared" si="25"/>
        <v>4.6665852963912293E-3</v>
      </c>
      <c r="R148">
        <f t="shared" si="25"/>
        <v>2.2059481671345457E-2</v>
      </c>
      <c r="S148">
        <f t="shared" si="25"/>
        <v>2.8003580292119291E-2</v>
      </c>
    </row>
    <row r="149" spans="1:29">
      <c r="C149" s="11"/>
      <c r="D149" s="11"/>
      <c r="E149" s="11"/>
      <c r="F149" s="11"/>
      <c r="G149" s="11"/>
      <c r="AC149" s="8" t="s">
        <v>36</v>
      </c>
    </row>
    <row r="150" spans="1:29">
      <c r="C150" s="11"/>
      <c r="D150" s="11"/>
      <c r="E150" s="11"/>
      <c r="F150" s="11"/>
      <c r="G150" s="11"/>
      <c r="O150" t="s">
        <v>37</v>
      </c>
      <c r="Y150" t="s">
        <v>38</v>
      </c>
      <c r="Z150" t="s">
        <v>39</v>
      </c>
      <c r="AB150" t="s">
        <v>40</v>
      </c>
      <c r="AC150" s="8" t="s">
        <v>41</v>
      </c>
    </row>
    <row r="151" spans="1:29">
      <c r="C151" s="11"/>
      <c r="D151" s="11"/>
      <c r="E151" s="11"/>
      <c r="F151" s="11"/>
      <c r="G151" s="11"/>
      <c r="P151">
        <f t="shared" ref="P151:T158" si="26">170/1*P141</f>
        <v>0.69718051995606001</v>
      </c>
      <c r="Q151" s="4">
        <f t="shared" si="26"/>
        <v>2.2886610521176611</v>
      </c>
      <c r="R151" s="5">
        <f t="shared" si="26"/>
        <v>1.4324016436795637</v>
      </c>
      <c r="S151" s="12">
        <f t="shared" si="26"/>
        <v>3.6996216282192118</v>
      </c>
      <c r="T151" s="13">
        <f t="shared" si="26"/>
        <v>2.6925830993937914</v>
      </c>
      <c r="Y151">
        <f>AVERAGE(Q151:Q153)</f>
        <v>2.4689504590639704</v>
      </c>
      <c r="Z151">
        <f>STDEV(Q151:Q153)</f>
        <v>0.15668725680443407</v>
      </c>
      <c r="AB151">
        <f>Y151/1000</f>
        <v>2.4689504590639706E-3</v>
      </c>
      <c r="AC151" s="8">
        <f>AB151*46.0684</f>
        <v>0.11374059732834262</v>
      </c>
    </row>
    <row r="152" spans="1:29">
      <c r="C152" s="11"/>
      <c r="D152" s="11"/>
      <c r="E152" s="11"/>
      <c r="F152" s="1" t="s">
        <v>743</v>
      </c>
      <c r="H152" s="164" t="s">
        <v>733</v>
      </c>
      <c r="I152" s="154"/>
      <c r="O152" t="s">
        <v>42</v>
      </c>
      <c r="P152">
        <f t="shared" si="26"/>
        <v>17.063631555392814</v>
      </c>
      <c r="Q152" s="4">
        <f t="shared" si="26"/>
        <v>2.5459538630538261</v>
      </c>
      <c r="R152" s="6">
        <f t="shared" si="26"/>
        <v>0.73411448797754186</v>
      </c>
      <c r="S152" s="12">
        <f t="shared" si="26"/>
        <v>3.8593921640424758</v>
      </c>
      <c r="T152" s="13">
        <f t="shared" si="26"/>
        <v>2.5667032832906136</v>
      </c>
      <c r="Y152">
        <f>AVERAGE(Q154:Q156)</f>
        <v>1.8520010306901551</v>
      </c>
      <c r="Z152">
        <f>STDEV(Q154:Q156)</f>
        <v>3.0348531176736113E-2</v>
      </c>
      <c r="AB152">
        <f t="shared" ref="AB152:AB160" si="27">Y152/1000</f>
        <v>1.8520010306901551E-3</v>
      </c>
      <c r="AC152" s="8">
        <f t="shared" ref="AC152:AC160" si="28">AB152*46.0684</f>
        <v>8.5318724282246336E-2</v>
      </c>
    </row>
    <row r="153" spans="1:29">
      <c r="C153" s="11"/>
      <c r="D153" s="11"/>
      <c r="E153" s="11"/>
      <c r="H153" s="164" t="s">
        <v>734</v>
      </c>
      <c r="I153" s="155"/>
      <c r="P153">
        <f t="shared" si="26"/>
        <v>10.211481345864355</v>
      </c>
      <c r="Q153" s="4">
        <f t="shared" si="26"/>
        <v>2.5722364620204239</v>
      </c>
      <c r="R153" s="6">
        <f t="shared" si="26"/>
        <v>0.43808942593270683</v>
      </c>
      <c r="S153" s="14">
        <f t="shared" si="26"/>
        <v>-0.45095406647951497</v>
      </c>
      <c r="T153" s="13">
        <f t="shared" si="26"/>
        <v>2.5044550225802511</v>
      </c>
      <c r="W153" s="8"/>
      <c r="Y153">
        <f>AVERAGE(Q157:Q158,R151)</f>
        <v>1.1200075945590409</v>
      </c>
      <c r="Z153">
        <f>STDEV(Q157:Q158,R151)</f>
        <v>0.31978076280785339</v>
      </c>
      <c r="AB153">
        <f t="shared" si="27"/>
        <v>1.1200075945590408E-3</v>
      </c>
      <c r="AC153" s="8">
        <f t="shared" si="28"/>
        <v>5.159695786918371E-2</v>
      </c>
    </row>
    <row r="154" spans="1:29">
      <c r="C154" s="11"/>
      <c r="D154" s="11"/>
      <c r="E154" s="11"/>
      <c r="H154" s="164" t="s">
        <v>735</v>
      </c>
      <c r="I154" s="156"/>
      <c r="P154">
        <f t="shared" si="26"/>
        <v>4.8622808088205378</v>
      </c>
      <c r="Q154" s="3">
        <f t="shared" si="26"/>
        <v>1.8418568696855036</v>
      </c>
      <c r="R154" s="6">
        <f t="shared" si="26"/>
        <v>0.19296960820212383</v>
      </c>
      <c r="S154" s="14">
        <f t="shared" si="26"/>
        <v>-9.4064038406770023E-2</v>
      </c>
      <c r="T154" s="15">
        <f t="shared" si="26"/>
        <v>0.42190487814801247</v>
      </c>
      <c r="W154" s="8"/>
      <c r="Y154">
        <f>AVERAGE(R152:R154)</f>
        <v>0.45505784070412414</v>
      </c>
      <c r="Z154">
        <f>STDEV(R152:R154)</f>
        <v>0.27097119874938569</v>
      </c>
      <c r="AB154">
        <f t="shared" si="27"/>
        <v>4.5505784070412413E-4</v>
      </c>
      <c r="AC154" s="8">
        <f t="shared" si="28"/>
        <v>2.0963786628693869E-2</v>
      </c>
    </row>
    <row r="155" spans="1:29">
      <c r="C155" s="11"/>
      <c r="D155" s="11"/>
      <c r="E155" s="11"/>
      <c r="H155" s="164" t="s">
        <v>736</v>
      </c>
      <c r="I155" s="158"/>
      <c r="P155" s="8">
        <f t="shared" si="26"/>
        <v>0.16115383050571619</v>
      </c>
      <c r="Q155" s="3">
        <f t="shared" si="26"/>
        <v>1.8861222995239837</v>
      </c>
      <c r="R155" s="16">
        <f t="shared" si="26"/>
        <v>-1.2247691118434436</v>
      </c>
      <c r="S155" s="14">
        <f t="shared" si="26"/>
        <v>-0.58720859270108627</v>
      </c>
      <c r="T155" s="15">
        <f t="shared" si="26"/>
        <v>-4.1498840473574265E-3</v>
      </c>
      <c r="W155" s="8"/>
      <c r="Y155">
        <f>AVERAGE(R155:R157)</f>
        <v>-1.2257835279439087</v>
      </c>
      <c r="Z155">
        <f>STDEV(R155:R157)</f>
        <v>9.2104298803158727E-4</v>
      </c>
      <c r="AB155">
        <f t="shared" si="27"/>
        <v>-1.2257835279439087E-3</v>
      </c>
      <c r="AC155" s="8">
        <f t="shared" si="28"/>
        <v>-5.6469885878731162E-2</v>
      </c>
    </row>
    <row r="156" spans="1:29">
      <c r="C156" s="11"/>
      <c r="D156" s="11"/>
      <c r="E156" s="11"/>
      <c r="H156" s="164" t="s">
        <v>737</v>
      </c>
      <c r="I156" s="160"/>
      <c r="P156" s="8">
        <f t="shared" si="26"/>
        <v>0.97937263517636997</v>
      </c>
      <c r="Q156" s="3">
        <f t="shared" si="26"/>
        <v>1.8280239228609787</v>
      </c>
      <c r="R156" s="16">
        <f t="shared" si="26"/>
        <v>-1.2260140770576509</v>
      </c>
      <c r="S156" s="17">
        <f t="shared" si="26"/>
        <v>4.3898856747630095</v>
      </c>
      <c r="T156" s="15">
        <f t="shared" si="26"/>
        <v>1.74295129989015</v>
      </c>
      <c r="W156" s="8"/>
      <c r="Y156">
        <f>AVERAGE(R158,S151,S152)</f>
        <v>3.7697085587968053</v>
      </c>
      <c r="Z156">
        <f>STDEV(R158,S151,S152)</f>
        <v>8.1668098256590202E-2</v>
      </c>
      <c r="AB156">
        <f t="shared" si="27"/>
        <v>3.7697085587968054E-3</v>
      </c>
      <c r="AC156" s="8">
        <f t="shared" si="28"/>
        <v>0.17366444177007473</v>
      </c>
    </row>
    <row r="157" spans="1:29">
      <c r="C157" s="11"/>
      <c r="D157" s="11"/>
      <c r="E157" s="11"/>
      <c r="H157" s="164" t="s">
        <v>738</v>
      </c>
      <c r="I157" s="161"/>
      <c r="P157" s="8">
        <f t="shared" si="26"/>
        <v>0.55055128361609507</v>
      </c>
      <c r="Q157" s="5">
        <f t="shared" si="26"/>
        <v>1.1343016396110499</v>
      </c>
      <c r="R157" s="16">
        <f t="shared" si="26"/>
        <v>-1.2265673949306317</v>
      </c>
      <c r="S157" s="17">
        <f t="shared" si="26"/>
        <v>4.8920216444932665</v>
      </c>
      <c r="W157" s="8"/>
      <c r="Y157">
        <f>AVERAGE(S153:S155)</f>
        <v>-0.3774088991957904</v>
      </c>
      <c r="Z157">
        <f>STDEV(S153:S155)</f>
        <v>0.25466557792648037</v>
      </c>
      <c r="AB157">
        <f t="shared" si="27"/>
        <v>-3.7740889919579039E-4</v>
      </c>
      <c r="AC157" s="8">
        <f t="shared" si="28"/>
        <v>-1.738662413171135E-2</v>
      </c>
    </row>
    <row r="158" spans="1:29">
      <c r="C158" s="11"/>
      <c r="D158" s="11"/>
      <c r="E158" s="11"/>
      <c r="H158" s="164" t="s">
        <v>739</v>
      </c>
      <c r="I158" s="163"/>
      <c r="P158" s="8">
        <f t="shared" si="26"/>
        <v>0.87977541803978987</v>
      </c>
      <c r="Q158" s="5">
        <f t="shared" si="26"/>
        <v>0.793319500386509</v>
      </c>
      <c r="R158" s="12">
        <f t="shared" si="26"/>
        <v>3.7501118841287275</v>
      </c>
      <c r="S158" s="17">
        <f t="shared" si="26"/>
        <v>4.7606086496602797</v>
      </c>
      <c r="W158" s="8"/>
      <c r="Y158">
        <f>AVERAGE(S156:S158)</f>
        <v>4.6808386563055189</v>
      </c>
      <c r="Z158">
        <f>STDEV(S156:S158)</f>
        <v>0.26039887078115448</v>
      </c>
      <c r="AB158">
        <f t="shared" si="27"/>
        <v>4.6808386563055191E-3</v>
      </c>
      <c r="AC158" s="8">
        <f t="shared" si="28"/>
        <v>0.21563874755414517</v>
      </c>
    </row>
    <row r="159" spans="1:29">
      <c r="C159" s="11"/>
      <c r="D159" s="11"/>
      <c r="E159" s="11"/>
      <c r="H159" s="164" t="s">
        <v>740</v>
      </c>
      <c r="I159" s="162"/>
      <c r="P159" s="8"/>
      <c r="Y159">
        <f>AVERAGE(T151:T153)</f>
        <v>2.5879138017548851</v>
      </c>
      <c r="Z159">
        <f>STDEV(T151:T153)</f>
        <v>9.5840794505955229E-2</v>
      </c>
      <c r="AB159">
        <f t="shared" si="27"/>
        <v>2.587913801754885E-3</v>
      </c>
      <c r="AC159" s="8">
        <f t="shared" si="28"/>
        <v>0.11922104818476474</v>
      </c>
    </row>
    <row r="160" spans="1:29">
      <c r="C160" s="11"/>
      <c r="D160" s="11"/>
      <c r="E160" s="11"/>
      <c r="H160" s="164" t="s">
        <v>741</v>
      </c>
      <c r="I160" s="159"/>
      <c r="O160" t="s">
        <v>43</v>
      </c>
      <c r="P160">
        <f t="shared" ref="P160:T167" si="29">785/1*P141</f>
        <v>3.2193335774441598</v>
      </c>
      <c r="Q160">
        <f t="shared" si="29"/>
        <v>10.568228975955083</v>
      </c>
      <c r="R160">
        <f t="shared" si="29"/>
        <v>6.6143252369909264</v>
      </c>
      <c r="S160">
        <f t="shared" si="29"/>
        <v>17.083546930306362</v>
      </c>
      <c r="T160">
        <f t="shared" si="29"/>
        <v>12.433398429553684</v>
      </c>
      <c r="Y160">
        <f>AVERAGE(T154:T156)</f>
        <v>0.72023543133026824</v>
      </c>
      <c r="Z160">
        <f>STDEV(T154:T156)</f>
        <v>0.91095635238494466</v>
      </c>
      <c r="AB160">
        <f t="shared" si="27"/>
        <v>7.2023543133026822E-4</v>
      </c>
      <c r="AC160" s="8">
        <f t="shared" si="28"/>
        <v>3.318009394469533E-2</v>
      </c>
    </row>
    <row r="161" spans="3:29">
      <c r="C161" s="11"/>
      <c r="D161" s="11"/>
      <c r="E161" s="11"/>
      <c r="H161" s="164" t="s">
        <v>742</v>
      </c>
      <c r="I161" s="157"/>
      <c r="P161">
        <f t="shared" si="29"/>
        <v>78.793828064607993</v>
      </c>
      <c r="Q161">
        <f t="shared" si="29"/>
        <v>11.756316367630903</v>
      </c>
      <c r="R161">
        <f t="shared" si="29"/>
        <v>3.3898816062492378</v>
      </c>
      <c r="S161">
        <f t="shared" si="29"/>
        <v>17.821310875137314</v>
      </c>
      <c r="T161">
        <f t="shared" si="29"/>
        <v>11.852129866959599</v>
      </c>
    </row>
    <row r="162" spans="3:29">
      <c r="C162" s="11"/>
      <c r="D162" s="11"/>
      <c r="E162" s="11"/>
      <c r="F162" s="11"/>
      <c r="G162" s="11"/>
      <c r="P162">
        <f t="shared" si="29"/>
        <v>47.153016802961879</v>
      </c>
      <c r="Q162">
        <f t="shared" si="29"/>
        <v>11.877680133447253</v>
      </c>
      <c r="R162">
        <f t="shared" si="29"/>
        <v>2.0229423491598522</v>
      </c>
      <c r="S162">
        <f t="shared" si="29"/>
        <v>-2.0823467187436426</v>
      </c>
      <c r="T162">
        <f t="shared" si="29"/>
        <v>11.564689368973513</v>
      </c>
      <c r="AA162" t="s">
        <v>44</v>
      </c>
      <c r="AC162" s="8">
        <f>AVERAGE(AC151:AC160)</f>
        <v>7.3946788755170398E-2</v>
      </c>
    </row>
    <row r="163" spans="3:29">
      <c r="C163" s="11"/>
      <c r="D163" s="11"/>
      <c r="E163" s="11"/>
      <c r="F163" s="11"/>
      <c r="G163" s="11"/>
      <c r="P163">
        <f t="shared" si="29"/>
        <v>22.452296676024247</v>
      </c>
      <c r="Q163">
        <f t="shared" si="29"/>
        <v>8.5050449570771782</v>
      </c>
      <c r="R163">
        <f t="shared" si="29"/>
        <v>0.89106554375686597</v>
      </c>
      <c r="S163">
        <f t="shared" si="29"/>
        <v>-0.43435453029008508</v>
      </c>
      <c r="T163">
        <f t="shared" si="29"/>
        <v>1.9482078196834693</v>
      </c>
    </row>
    <row r="164" spans="3:29">
      <c r="C164" s="11"/>
      <c r="D164" s="11"/>
      <c r="E164" s="11"/>
      <c r="F164" s="11"/>
      <c r="G164" s="11"/>
      <c r="P164">
        <f t="shared" si="29"/>
        <v>0.74415151145286584</v>
      </c>
      <c r="Q164">
        <f t="shared" si="29"/>
        <v>8.7094470889783953</v>
      </c>
      <c r="R164">
        <f t="shared" si="29"/>
        <v>-5.6555514870417829</v>
      </c>
      <c r="S164">
        <f t="shared" si="29"/>
        <v>-2.7115220310020751</v>
      </c>
      <c r="T164">
        <f t="shared" si="29"/>
        <v>-1.9162699865738705E-2</v>
      </c>
    </row>
    <row r="165" spans="3:29">
      <c r="P165">
        <f t="shared" si="29"/>
        <v>4.5223971683144146</v>
      </c>
      <c r="Q165">
        <f t="shared" si="29"/>
        <v>8.4411692908580491</v>
      </c>
      <c r="R165">
        <f t="shared" si="29"/>
        <v>-5.6613002970015049</v>
      </c>
      <c r="S165">
        <f t="shared" si="29"/>
        <v>20.270942674640953</v>
      </c>
      <c r="T165">
        <f t="shared" si="29"/>
        <v>8.0483339436103982</v>
      </c>
    </row>
    <row r="166" spans="3:29">
      <c r="P166">
        <f t="shared" si="29"/>
        <v>2.5422515155213801</v>
      </c>
      <c r="Q166">
        <f t="shared" si="29"/>
        <v>5.2378046299686716</v>
      </c>
      <c r="R166">
        <f t="shared" si="29"/>
        <v>-5.66385532365027</v>
      </c>
      <c r="S166">
        <f t="shared" si="29"/>
        <v>22.589629358395378</v>
      </c>
    </row>
    <row r="167" spans="3:29">
      <c r="P167">
        <f t="shared" si="29"/>
        <v>4.0624923715366767</v>
      </c>
      <c r="Q167">
        <f t="shared" si="29"/>
        <v>3.663269457667115</v>
      </c>
      <c r="R167">
        <f t="shared" si="29"/>
        <v>17.316693112006185</v>
      </c>
      <c r="S167">
        <f t="shared" si="29"/>
        <v>21.982810529313642</v>
      </c>
    </row>
  </sheetData>
  <mergeCells count="3">
    <mergeCell ref="AM7:AN7"/>
    <mergeCell ref="B89:AJ89"/>
    <mergeCell ref="AL88:AM8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9"/>
  <sheetViews>
    <sheetView zoomScale="86" zoomScaleNormal="86" workbookViewId="0"/>
  </sheetViews>
  <sheetFormatPr defaultRowHeight="15"/>
  <cols>
    <col min="2" max="2" width="14.140625" customWidth="1"/>
  </cols>
  <sheetData>
    <row r="1" spans="1:21">
      <c r="A1" t="s">
        <v>767</v>
      </c>
    </row>
    <row r="3" spans="1:21">
      <c r="A3" t="s">
        <v>103</v>
      </c>
      <c r="F3" t="s">
        <v>748</v>
      </c>
    </row>
    <row r="4" spans="1:21">
      <c r="A4" s="10"/>
      <c r="B4" s="10"/>
      <c r="C4" s="10"/>
      <c r="D4" s="10"/>
      <c r="E4" s="10"/>
      <c r="F4" s="10"/>
    </row>
    <row r="5" spans="1:21">
      <c r="A5" s="10" t="s">
        <v>104</v>
      </c>
      <c r="B5" s="10"/>
      <c r="C5" s="10"/>
      <c r="D5" s="10"/>
      <c r="E5" s="10"/>
      <c r="F5" s="10"/>
    </row>
    <row r="6" spans="1:21">
      <c r="A6" s="10"/>
      <c r="B6" s="10"/>
      <c r="C6" s="10"/>
      <c r="D6" s="10" t="s">
        <v>14</v>
      </c>
      <c r="E6" s="10"/>
      <c r="F6" s="10"/>
      <c r="G6" s="10" t="s">
        <v>105</v>
      </c>
      <c r="H6" s="10"/>
      <c r="I6" s="10"/>
      <c r="J6" s="10" t="s">
        <v>106</v>
      </c>
      <c r="K6" s="10"/>
      <c r="L6" s="10"/>
      <c r="M6" s="10" t="s">
        <v>745</v>
      </c>
      <c r="N6" s="10"/>
      <c r="O6" s="10"/>
      <c r="P6" s="10" t="s">
        <v>746</v>
      </c>
      <c r="Q6" s="10"/>
      <c r="S6" s="10" t="s">
        <v>747</v>
      </c>
    </row>
    <row r="7" spans="1:21">
      <c r="A7" s="10"/>
      <c r="B7" s="10"/>
      <c r="C7" s="10"/>
      <c r="D7" s="10"/>
      <c r="E7" s="10"/>
      <c r="F7" s="10"/>
    </row>
    <row r="8" spans="1:21">
      <c r="A8" s="10"/>
      <c r="B8" s="10"/>
      <c r="C8" s="10" t="s">
        <v>107</v>
      </c>
      <c r="D8" s="10"/>
      <c r="E8" s="10"/>
      <c r="F8" s="10"/>
    </row>
    <row r="9" spans="1:21">
      <c r="A9" s="33"/>
      <c r="B9" s="33"/>
      <c r="C9" s="33" t="s">
        <v>108</v>
      </c>
      <c r="D9" s="34">
        <v>0.16400000000000001</v>
      </c>
      <c r="E9" s="34">
        <v>0.16120000000000001</v>
      </c>
      <c r="F9" s="34">
        <v>0.1643</v>
      </c>
      <c r="G9" s="34">
        <v>0.254</v>
      </c>
      <c r="H9" s="34">
        <v>0.21</v>
      </c>
      <c r="I9" s="34">
        <v>0.23899999999999999</v>
      </c>
      <c r="J9" s="11">
        <v>0.39529999999999998</v>
      </c>
      <c r="K9" s="11">
        <v>0.39190000000000003</v>
      </c>
      <c r="L9" s="11">
        <v>0.39500000000000002</v>
      </c>
      <c r="M9" s="11">
        <v>0.7843</v>
      </c>
      <c r="N9" s="11">
        <v>0.78190000000000004</v>
      </c>
      <c r="O9" s="11">
        <v>0.71030000000000004</v>
      </c>
      <c r="P9" s="11">
        <v>0.89429999999999998</v>
      </c>
      <c r="Q9" s="11">
        <v>0.89339999999999997</v>
      </c>
      <c r="R9" s="11">
        <v>0.89439999999999997</v>
      </c>
      <c r="S9" s="34">
        <v>0.2354</v>
      </c>
      <c r="T9" s="34">
        <v>0.21540000000000001</v>
      </c>
      <c r="U9" s="34">
        <v>0.21540000000000001</v>
      </c>
    </row>
    <row r="10" spans="1:21">
      <c r="A10" s="33"/>
      <c r="B10" s="33"/>
      <c r="C10" s="33" t="s">
        <v>109</v>
      </c>
      <c r="D10" s="34">
        <v>0.16300000000000001</v>
      </c>
      <c r="E10" s="34">
        <v>0.16320000000000001</v>
      </c>
      <c r="F10" s="34">
        <v>0.1658</v>
      </c>
      <c r="G10" s="34">
        <v>0.219</v>
      </c>
      <c r="H10" s="34">
        <v>0.20430000000000001</v>
      </c>
      <c r="I10" s="34">
        <v>0.20499999999999999</v>
      </c>
      <c r="J10" s="11">
        <v>0.41199999999999998</v>
      </c>
      <c r="K10" s="11">
        <v>0.4103</v>
      </c>
      <c r="L10" s="11">
        <v>0.41339999999999999</v>
      </c>
      <c r="M10" s="11">
        <v>0.59650000000000003</v>
      </c>
      <c r="N10" s="11">
        <v>0.59550000000000003</v>
      </c>
      <c r="O10" s="11">
        <v>0.50429999999999997</v>
      </c>
      <c r="P10" s="11">
        <v>0.92230000000000001</v>
      </c>
      <c r="Q10" s="11">
        <v>0.92749999999999999</v>
      </c>
      <c r="R10" s="11">
        <v>0.9103</v>
      </c>
      <c r="S10" s="34">
        <v>0.22950000000000001</v>
      </c>
      <c r="T10" s="34">
        <v>0.22189999999999999</v>
      </c>
      <c r="U10" s="34">
        <v>0.22450000000000001</v>
      </c>
    </row>
    <row r="11" spans="1:21">
      <c r="A11" s="33"/>
      <c r="B11" s="33"/>
      <c r="C11" s="33" t="s">
        <v>110</v>
      </c>
      <c r="D11" s="34">
        <v>0.1638</v>
      </c>
      <c r="E11" s="34">
        <v>0.1603</v>
      </c>
      <c r="F11" s="34">
        <v>0.16189999999999999</v>
      </c>
      <c r="G11" s="34">
        <v>0.1883</v>
      </c>
      <c r="H11" s="34">
        <v>0.18390000000000001</v>
      </c>
      <c r="I11" s="34">
        <v>0.18099999999999999</v>
      </c>
      <c r="J11" s="11">
        <v>0.21290000000000001</v>
      </c>
      <c r="K11" s="11">
        <v>0.21099999999999999</v>
      </c>
      <c r="L11" s="11">
        <v>0.21629999999999999</v>
      </c>
      <c r="M11" s="11">
        <v>0.66339999999999999</v>
      </c>
      <c r="N11" s="11">
        <v>0.66020000000000001</v>
      </c>
      <c r="O11" s="11">
        <v>0.60540000000000005</v>
      </c>
      <c r="P11" s="11">
        <v>0.89539999999999997</v>
      </c>
      <c r="Q11" s="11">
        <v>0.89849999999999997</v>
      </c>
      <c r="R11" s="11">
        <v>0.84040000000000004</v>
      </c>
      <c r="S11" s="34">
        <v>0.21940000000000001</v>
      </c>
      <c r="T11" s="34">
        <v>0.2112</v>
      </c>
      <c r="U11" s="34">
        <v>0.21560000000000001</v>
      </c>
    </row>
    <row r="12" spans="1:21">
      <c r="A12" s="33"/>
      <c r="B12" s="33"/>
      <c r="C12" s="33" t="s">
        <v>111</v>
      </c>
      <c r="D12" s="34">
        <v>0.16300000000000001</v>
      </c>
      <c r="E12" s="34">
        <v>0.16930000000000001</v>
      </c>
      <c r="F12" s="34">
        <v>0.16700000000000001</v>
      </c>
      <c r="G12" s="34">
        <v>0.20100000000000001</v>
      </c>
      <c r="H12" s="34">
        <v>0.26300000000000001</v>
      </c>
      <c r="I12" s="34">
        <v>0.20399999999999999</v>
      </c>
      <c r="J12" s="11">
        <v>0.43209999999999998</v>
      </c>
      <c r="K12" s="11">
        <v>0.43619999999999998</v>
      </c>
      <c r="L12" s="11">
        <v>0.43840000000000001</v>
      </c>
      <c r="M12" s="11">
        <v>0.65939999999999999</v>
      </c>
      <c r="N12" s="11">
        <v>0.65229999999999999</v>
      </c>
      <c r="O12" s="11">
        <v>0.65210000000000001</v>
      </c>
      <c r="P12" s="11">
        <v>0.85233999999999999</v>
      </c>
      <c r="Q12" s="11">
        <v>0.85009999999999997</v>
      </c>
      <c r="R12" s="11">
        <v>0.85992000000000002</v>
      </c>
      <c r="S12" s="34">
        <v>0.21940000000000001</v>
      </c>
      <c r="T12" s="34">
        <v>0.21190000000000001</v>
      </c>
      <c r="U12" s="34">
        <v>0.21560000000000001</v>
      </c>
    </row>
    <row r="13" spans="1:21">
      <c r="A13" s="33"/>
      <c r="B13" s="33"/>
      <c r="C13" s="33" t="s">
        <v>112</v>
      </c>
      <c r="D13" s="34">
        <v>0.17</v>
      </c>
      <c r="E13" s="34">
        <v>0.1794</v>
      </c>
      <c r="F13" s="34">
        <v>0.17150000000000001</v>
      </c>
      <c r="G13" s="34">
        <v>0.193</v>
      </c>
      <c r="H13" s="34">
        <v>0.113</v>
      </c>
      <c r="I13" s="34">
        <v>0.192</v>
      </c>
      <c r="J13" s="11">
        <v>0.36449999999999999</v>
      </c>
      <c r="K13" s="11">
        <v>0.36199999999999999</v>
      </c>
      <c r="L13" s="11">
        <v>0.36230000000000001</v>
      </c>
      <c r="M13" s="11">
        <v>0.57499999999999996</v>
      </c>
      <c r="N13" s="11">
        <v>0.57040000000000002</v>
      </c>
      <c r="O13" s="11">
        <v>0.57940000000000003</v>
      </c>
      <c r="P13" s="11">
        <v>0.88229999999999997</v>
      </c>
      <c r="Q13" s="11">
        <v>0.88029999999999997</v>
      </c>
      <c r="R13" s="11">
        <v>0.88439999999999996</v>
      </c>
      <c r="S13" s="34">
        <v>0.18540000000000001</v>
      </c>
      <c r="T13" s="34">
        <v>0.1835</v>
      </c>
      <c r="U13" s="34">
        <v>0.18210000000000001</v>
      </c>
    </row>
    <row r="14" spans="1:21">
      <c r="A14" s="33"/>
      <c r="B14" s="33"/>
      <c r="C14" s="33" t="s">
        <v>113</v>
      </c>
      <c r="D14" s="34">
        <v>0.16500000000000001</v>
      </c>
      <c r="E14" s="34">
        <v>0.1694</v>
      </c>
      <c r="F14" s="34">
        <v>0.16189999999999999</v>
      </c>
      <c r="G14" s="34">
        <v>0.19420000000000001</v>
      </c>
      <c r="H14" s="34">
        <v>0.19040000000000001</v>
      </c>
      <c r="I14" s="34">
        <v>0.19539999999999999</v>
      </c>
      <c r="J14" s="11">
        <v>0.37280000000000002</v>
      </c>
      <c r="K14" s="11">
        <v>0.37630000000000002</v>
      </c>
      <c r="L14" s="11">
        <v>0.37509999999999999</v>
      </c>
      <c r="M14" s="11">
        <v>0.85399999999999998</v>
      </c>
      <c r="N14" s="11">
        <v>0.85340000000000005</v>
      </c>
      <c r="O14" s="11">
        <v>0.85123000000000004</v>
      </c>
      <c r="P14" s="11">
        <v>0.9012</v>
      </c>
      <c r="Q14" s="11">
        <v>0.90910000000000002</v>
      </c>
      <c r="R14" s="11">
        <v>0.90290000000000004</v>
      </c>
      <c r="S14" s="34">
        <v>0.16289999999999999</v>
      </c>
      <c r="T14" s="34">
        <v>0.16339999999999999</v>
      </c>
      <c r="U14" s="34">
        <v>0.16209999999999999</v>
      </c>
    </row>
    <row r="15" spans="1:21">
      <c r="A15" s="10"/>
      <c r="B15" s="33"/>
      <c r="C15" s="33" t="s">
        <v>114</v>
      </c>
      <c r="D15" s="34">
        <v>0.16900000000000001</v>
      </c>
      <c r="E15" s="34">
        <v>0.1673</v>
      </c>
      <c r="F15" s="34">
        <v>0.16539999999999999</v>
      </c>
      <c r="G15" s="34">
        <v>0.1391</v>
      </c>
      <c r="H15" s="34">
        <v>0.13300000000000001</v>
      </c>
      <c r="I15" s="34">
        <v>0.13100000000000001</v>
      </c>
      <c r="J15" s="11">
        <v>0.3654</v>
      </c>
      <c r="K15" s="11">
        <v>0.36030000000000001</v>
      </c>
      <c r="L15" s="11">
        <v>0.3649</v>
      </c>
      <c r="M15" s="11">
        <v>0.75700000000000001</v>
      </c>
      <c r="N15" s="11">
        <v>0.751</v>
      </c>
      <c r="O15" s="11">
        <v>0.75490000000000002</v>
      </c>
      <c r="P15" s="11">
        <v>0.98434999999999995</v>
      </c>
      <c r="Q15" s="11">
        <v>0.98939999999999995</v>
      </c>
      <c r="R15" s="11">
        <v>0.98629999999999995</v>
      </c>
      <c r="S15" s="34">
        <v>0.21940000000000001</v>
      </c>
      <c r="T15" s="34">
        <v>0.2364</v>
      </c>
      <c r="U15" s="34">
        <v>0.21540000000000001</v>
      </c>
    </row>
    <row r="16" spans="1:21">
      <c r="A16" s="33"/>
      <c r="B16" s="33"/>
      <c r="C16" s="33" t="s">
        <v>115</v>
      </c>
      <c r="D16" s="34">
        <v>0.16200000000000001</v>
      </c>
      <c r="E16" s="34">
        <v>0.16339999999999999</v>
      </c>
      <c r="F16" s="34">
        <v>0.1605</v>
      </c>
      <c r="G16" s="34">
        <v>0.1943</v>
      </c>
      <c r="H16" s="34">
        <v>0.19600000000000001</v>
      </c>
      <c r="I16" s="34">
        <v>0.19550000000000001</v>
      </c>
      <c r="J16" s="11">
        <v>0.36110999999999999</v>
      </c>
      <c r="K16" s="11">
        <v>0.3664</v>
      </c>
      <c r="L16" s="11">
        <v>0.3619</v>
      </c>
      <c r="M16" s="11">
        <v>0.84650000000000003</v>
      </c>
      <c r="N16" s="11">
        <v>0.82299999999999995</v>
      </c>
      <c r="O16" s="11">
        <v>0.84540000000000004</v>
      </c>
      <c r="P16" s="11">
        <v>0.95409999999999995</v>
      </c>
      <c r="Q16" s="11">
        <v>0.95109999999999995</v>
      </c>
      <c r="R16" s="11">
        <v>0.95189999999999997</v>
      </c>
      <c r="S16" s="34">
        <v>0.22189999999999999</v>
      </c>
      <c r="T16" s="34">
        <v>0.22109999999999999</v>
      </c>
      <c r="U16" s="34">
        <v>0.24909999999999999</v>
      </c>
    </row>
    <row r="17" spans="1:21">
      <c r="A17" s="33"/>
      <c r="B17" s="33"/>
      <c r="C17" s="33" t="s">
        <v>116</v>
      </c>
      <c r="D17" s="34">
        <v>0.16600000000000001</v>
      </c>
      <c r="E17" s="34">
        <v>0.16059999999999999</v>
      </c>
      <c r="F17" s="34">
        <v>0.161</v>
      </c>
      <c r="G17" s="34">
        <v>0.1193</v>
      </c>
      <c r="H17" s="34">
        <v>0.1103</v>
      </c>
      <c r="I17" s="34">
        <v>0.1134</v>
      </c>
      <c r="J17" s="11">
        <v>0.4325</v>
      </c>
      <c r="K17" s="11">
        <v>0.432</v>
      </c>
      <c r="L17" s="11">
        <v>0.43640000000000001</v>
      </c>
      <c r="M17" s="11">
        <v>0.86460000000000004</v>
      </c>
      <c r="N17" s="11">
        <v>0.85509999999999997</v>
      </c>
      <c r="O17" s="11">
        <v>0.86119999999999997</v>
      </c>
      <c r="P17" s="11">
        <v>0.91239999999999999</v>
      </c>
      <c r="Q17" s="11">
        <v>0.9153</v>
      </c>
      <c r="R17" s="11">
        <v>0.91539999999999999</v>
      </c>
      <c r="S17" s="34">
        <v>0.21951000000000001</v>
      </c>
      <c r="T17" s="34">
        <v>0.2114</v>
      </c>
      <c r="U17" s="34">
        <v>0.21540000000000001</v>
      </c>
    </row>
    <row r="18" spans="1:21">
      <c r="A18" s="33"/>
      <c r="B18" s="10"/>
      <c r="C18" s="10" t="s">
        <v>117</v>
      </c>
      <c r="D18" s="10">
        <v>0.17119999999999999</v>
      </c>
      <c r="E18" s="10">
        <v>0.17230000000000001</v>
      </c>
      <c r="F18" s="10">
        <v>0.1704</v>
      </c>
      <c r="G18" s="11">
        <v>0.24929999999999999</v>
      </c>
      <c r="H18" s="11">
        <v>0.21840000000000001</v>
      </c>
      <c r="I18" s="11">
        <v>0.2412</v>
      </c>
      <c r="J18" s="11">
        <v>0.44690000000000002</v>
      </c>
      <c r="K18" s="11">
        <v>0.44283</v>
      </c>
      <c r="L18" s="11">
        <v>0.41830000000000001</v>
      </c>
      <c r="M18" s="11">
        <v>0.89319999999999999</v>
      </c>
      <c r="N18" s="11">
        <v>0.86240000000000006</v>
      </c>
      <c r="O18" s="11">
        <v>0.84750000000000003</v>
      </c>
      <c r="P18" s="11">
        <v>0.95233999999999996</v>
      </c>
      <c r="Q18" s="11">
        <v>0.98540000000000005</v>
      </c>
      <c r="R18" s="11">
        <v>0.94230000000000003</v>
      </c>
      <c r="S18" s="11">
        <v>0.22539999999999999</v>
      </c>
      <c r="T18" s="11">
        <v>0.22689999999999999</v>
      </c>
      <c r="U18" s="11">
        <v>0.2135</v>
      </c>
    </row>
    <row r="19" spans="1:2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</row>
    <row r="20" spans="1:2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</row>
    <row r="21" spans="1:21">
      <c r="A21" s="10" t="s">
        <v>118</v>
      </c>
      <c r="B21" s="10"/>
      <c r="C21" s="10"/>
      <c r="D21" s="10"/>
      <c r="E21" s="10"/>
      <c r="F21" s="10"/>
    </row>
    <row r="22" spans="1:21">
      <c r="A22" s="10"/>
      <c r="B22" s="10"/>
      <c r="C22" s="10"/>
      <c r="D22" s="10" t="s">
        <v>14</v>
      </c>
      <c r="E22" s="10"/>
      <c r="G22" s="10" t="s">
        <v>105</v>
      </c>
      <c r="H22" s="10"/>
      <c r="I22" s="10"/>
      <c r="J22" s="10" t="s">
        <v>106</v>
      </c>
      <c r="K22" s="10"/>
      <c r="L22" s="10"/>
      <c r="M22" s="10" t="s">
        <v>745</v>
      </c>
      <c r="N22" s="10"/>
      <c r="O22" s="10"/>
      <c r="P22" s="10" t="s">
        <v>746</v>
      </c>
      <c r="Q22" s="10"/>
      <c r="S22" s="10" t="s">
        <v>747</v>
      </c>
      <c r="T22" s="10"/>
      <c r="U22" s="10"/>
    </row>
    <row r="23" spans="1:21">
      <c r="A23" s="33"/>
      <c r="B23" s="33"/>
      <c r="C23" s="10" t="s">
        <v>107</v>
      </c>
      <c r="D23" s="10"/>
      <c r="E23" s="10"/>
      <c r="F23" s="10"/>
    </row>
    <row r="24" spans="1:21">
      <c r="A24" s="33"/>
      <c r="B24" s="33"/>
      <c r="C24" s="33" t="s">
        <v>108</v>
      </c>
      <c r="D24" s="34">
        <v>0.16539999999999999</v>
      </c>
      <c r="E24" s="34">
        <v>0.1623</v>
      </c>
      <c r="F24" s="34">
        <v>0.15859999999999999</v>
      </c>
      <c r="G24" s="34">
        <v>0.19650000000000001</v>
      </c>
      <c r="H24" s="34">
        <v>0.1988</v>
      </c>
      <c r="I24" s="34">
        <v>0.1933</v>
      </c>
      <c r="J24" s="11">
        <v>0.21290000000000001</v>
      </c>
      <c r="K24" s="11">
        <v>0.21820000000000001</v>
      </c>
      <c r="L24" s="11">
        <v>0.23180000000000001</v>
      </c>
      <c r="M24" s="11">
        <v>0.43919999999999998</v>
      </c>
      <c r="N24" s="11">
        <v>0.43940000000000001</v>
      </c>
      <c r="O24" s="11">
        <v>0.45939999999999998</v>
      </c>
      <c r="P24" s="11">
        <v>0.71930000000000005</v>
      </c>
      <c r="Q24" s="11">
        <v>0.7218</v>
      </c>
      <c r="R24" s="11">
        <v>0.71919999999999995</v>
      </c>
      <c r="S24" s="34">
        <v>0.19633999999999999</v>
      </c>
      <c r="T24" s="34">
        <v>0.19103999999999999</v>
      </c>
      <c r="U24" s="34">
        <v>0.19342999999999999</v>
      </c>
    </row>
    <row r="25" spans="1:21">
      <c r="A25" s="33"/>
      <c r="B25" s="33"/>
      <c r="C25" s="33" t="s">
        <v>109</v>
      </c>
      <c r="D25" s="34">
        <v>0.16594</v>
      </c>
      <c r="E25" s="11">
        <v>0.16259999999999999</v>
      </c>
      <c r="F25" s="34">
        <v>0.15110000000000001</v>
      </c>
      <c r="G25" s="34">
        <v>0.16320000000000001</v>
      </c>
      <c r="H25" s="34">
        <v>0.1648</v>
      </c>
      <c r="I25" s="34">
        <v>0.16039999999999999</v>
      </c>
      <c r="J25" s="11">
        <v>0.38650000000000001</v>
      </c>
      <c r="K25" s="11">
        <v>0.36559999999999998</v>
      </c>
      <c r="L25" s="11">
        <v>0.38540000000000002</v>
      </c>
      <c r="M25" s="11">
        <v>0.41039999999999999</v>
      </c>
      <c r="N25" s="11">
        <v>0.4194</v>
      </c>
      <c r="O25" s="11">
        <v>0.41020000000000001</v>
      </c>
      <c r="P25" s="11">
        <v>0.69450000000000001</v>
      </c>
      <c r="Q25" s="11">
        <v>0.69679999999999997</v>
      </c>
      <c r="R25" s="11">
        <v>0.64680000000000004</v>
      </c>
      <c r="S25" s="34">
        <v>0.19189999999999999</v>
      </c>
      <c r="T25" s="34">
        <v>0.19650000000000001</v>
      </c>
      <c r="U25" s="34">
        <v>0.19120000000000001</v>
      </c>
    </row>
    <row r="26" spans="1:21">
      <c r="A26" s="33"/>
      <c r="B26" s="33"/>
      <c r="C26" s="33" t="s">
        <v>110</v>
      </c>
      <c r="D26" s="34">
        <v>0.16639999999999999</v>
      </c>
      <c r="E26" s="34">
        <v>0.16750000000000001</v>
      </c>
      <c r="F26" s="34">
        <v>0.15939999999999999</v>
      </c>
      <c r="G26" s="34">
        <v>0.1593</v>
      </c>
      <c r="H26" s="34">
        <v>0.15740000000000001</v>
      </c>
      <c r="I26" s="34">
        <v>0.1573</v>
      </c>
      <c r="J26" s="11">
        <v>0.19539999999999999</v>
      </c>
      <c r="K26" s="11">
        <v>0.1883</v>
      </c>
      <c r="L26" s="11">
        <v>0.1938</v>
      </c>
      <c r="M26" s="11">
        <v>0.52210000000000001</v>
      </c>
      <c r="N26" s="11">
        <v>0.53180000000000005</v>
      </c>
      <c r="O26" s="11">
        <v>0.52102000000000004</v>
      </c>
      <c r="P26" s="11">
        <v>0.76539999999999997</v>
      </c>
      <c r="Q26" s="11">
        <v>0.75380000000000003</v>
      </c>
      <c r="R26" s="11">
        <v>0.76949999999999996</v>
      </c>
      <c r="S26" s="34">
        <v>0.19819999999999999</v>
      </c>
      <c r="T26" s="34">
        <v>0.1943</v>
      </c>
      <c r="U26" s="34">
        <v>0.19045000000000001</v>
      </c>
    </row>
    <row r="27" spans="1:21">
      <c r="A27" s="33"/>
      <c r="B27" s="33"/>
      <c r="C27" s="33" t="s">
        <v>111</v>
      </c>
      <c r="D27" s="34">
        <v>0.1623</v>
      </c>
      <c r="E27" s="34">
        <v>0.1663</v>
      </c>
      <c r="F27" s="34">
        <v>0.16639999999999999</v>
      </c>
      <c r="G27" s="34">
        <v>0.17849999999999999</v>
      </c>
      <c r="H27" s="34">
        <v>0.1704</v>
      </c>
      <c r="I27" s="34">
        <v>0.1787</v>
      </c>
      <c r="J27" s="11">
        <v>0.2019</v>
      </c>
      <c r="K27" s="11">
        <v>0.28499999999999998</v>
      </c>
      <c r="L27" s="11">
        <v>0.20519999999999999</v>
      </c>
      <c r="M27" s="11">
        <v>0.60119999999999996</v>
      </c>
      <c r="N27" s="11">
        <v>0.61929999999999996</v>
      </c>
      <c r="O27" s="11">
        <v>0.69479999999999997</v>
      </c>
      <c r="P27" s="11">
        <v>0.79434000000000005</v>
      </c>
      <c r="Q27" s="11">
        <v>0.7712</v>
      </c>
      <c r="R27" s="11">
        <v>0.76939999999999997</v>
      </c>
      <c r="S27" s="34">
        <v>0.1895</v>
      </c>
      <c r="T27" s="34">
        <v>0.1847</v>
      </c>
      <c r="U27" s="34">
        <v>0.18490000000000001</v>
      </c>
    </row>
    <row r="28" spans="1:21">
      <c r="A28" s="33"/>
      <c r="B28" s="33"/>
      <c r="C28" s="33" t="s">
        <v>112</v>
      </c>
      <c r="D28" s="34">
        <v>0.16950000000000001</v>
      </c>
      <c r="E28" s="34">
        <v>0.1646</v>
      </c>
      <c r="F28" s="34">
        <v>0.1575</v>
      </c>
      <c r="G28" s="34">
        <v>0.1593</v>
      </c>
      <c r="H28" s="34">
        <v>0.15390000000000001</v>
      </c>
      <c r="I28" s="34">
        <v>0.15379999999999999</v>
      </c>
      <c r="J28" s="11">
        <v>0.31929999999999997</v>
      </c>
      <c r="K28" s="11">
        <v>0.34279999999999999</v>
      </c>
      <c r="L28" s="11">
        <v>0.31280000000000002</v>
      </c>
      <c r="M28" s="11">
        <v>0.52039999999999997</v>
      </c>
      <c r="N28" s="11">
        <v>0.52500000000000002</v>
      </c>
      <c r="O28" s="11">
        <v>0.55179999999999996</v>
      </c>
      <c r="P28" s="11">
        <v>0.6129</v>
      </c>
      <c r="Q28" s="11">
        <v>0.60119999999999996</v>
      </c>
      <c r="R28" s="11">
        <v>0.63819999999999999</v>
      </c>
      <c r="S28" s="34">
        <v>0.15279999999999999</v>
      </c>
      <c r="T28" s="11">
        <v>0.15609999999999999</v>
      </c>
      <c r="U28" s="34">
        <v>0.15190000000000001</v>
      </c>
    </row>
    <row r="29" spans="1:21">
      <c r="A29" s="33"/>
      <c r="B29" s="33"/>
      <c r="C29" s="33" t="s">
        <v>113</v>
      </c>
      <c r="D29" s="34">
        <v>0.16950000000000001</v>
      </c>
      <c r="E29" s="34">
        <v>0.16339999999999999</v>
      </c>
      <c r="F29" s="34">
        <v>0.15040000000000001</v>
      </c>
      <c r="G29" s="34">
        <v>0.16450000000000001</v>
      </c>
      <c r="H29" s="11">
        <v>0.16669999999999999</v>
      </c>
      <c r="I29" s="34">
        <v>0.16320000000000001</v>
      </c>
      <c r="J29" s="11">
        <v>0.3291</v>
      </c>
      <c r="K29" s="11">
        <v>0.32579999999999998</v>
      </c>
      <c r="L29" s="11">
        <v>0.32540000000000002</v>
      </c>
      <c r="M29" s="11">
        <v>0.81030000000000002</v>
      </c>
      <c r="N29" s="11">
        <v>0.81020000000000003</v>
      </c>
      <c r="O29" s="11">
        <v>0.83179999999999998</v>
      </c>
      <c r="P29" s="11">
        <v>0.85450000000000004</v>
      </c>
      <c r="Q29" s="11">
        <v>0.8569</v>
      </c>
      <c r="R29" s="11">
        <v>0.84950000000000003</v>
      </c>
      <c r="S29" s="34">
        <v>0.15190000000000001</v>
      </c>
      <c r="T29" s="34">
        <v>0.15590000000000001</v>
      </c>
      <c r="U29" s="34">
        <v>0.15920000000000001</v>
      </c>
    </row>
    <row r="30" spans="1:21">
      <c r="A30" s="33"/>
      <c r="B30" s="33"/>
      <c r="C30" s="33" t="s">
        <v>114</v>
      </c>
      <c r="D30" s="34">
        <v>0.16239999999999999</v>
      </c>
      <c r="E30" s="34">
        <v>0.1545</v>
      </c>
      <c r="F30" s="34">
        <v>0.1651</v>
      </c>
      <c r="G30" s="34">
        <v>0.1249</v>
      </c>
      <c r="H30" s="34">
        <v>0.12595999999999999</v>
      </c>
      <c r="I30" s="34">
        <v>0.12393999999999999</v>
      </c>
      <c r="J30" s="11">
        <v>0.31190000000000001</v>
      </c>
      <c r="K30" s="11">
        <v>0.31330000000000002</v>
      </c>
      <c r="L30" s="11">
        <v>0.31190000000000001</v>
      </c>
      <c r="M30" s="11">
        <v>0.70489999999999997</v>
      </c>
      <c r="N30" s="11">
        <v>0.70940000000000003</v>
      </c>
      <c r="O30" s="11">
        <v>0.71289999999999998</v>
      </c>
      <c r="P30" s="11">
        <v>0.73199999999999998</v>
      </c>
      <c r="Q30" s="11">
        <v>0.78432000000000002</v>
      </c>
      <c r="R30" s="11">
        <v>0.73280999999999996</v>
      </c>
      <c r="S30" s="34">
        <v>0.19539999999999999</v>
      </c>
      <c r="T30" s="34">
        <v>0.1943</v>
      </c>
      <c r="U30" s="34">
        <v>0.19020000000000001</v>
      </c>
    </row>
    <row r="31" spans="1:21">
      <c r="A31" s="33"/>
      <c r="B31" s="33"/>
      <c r="C31" s="33" t="s">
        <v>115</v>
      </c>
      <c r="D31" s="34">
        <v>0.1643</v>
      </c>
      <c r="E31" s="34">
        <v>0.15590000000000001</v>
      </c>
      <c r="F31" s="34">
        <v>0.15770000000000001</v>
      </c>
      <c r="G31" s="34">
        <v>0.16589999999999999</v>
      </c>
      <c r="H31" s="34">
        <v>0.16880000000000001</v>
      </c>
      <c r="I31" s="34">
        <v>0.15390000000000001</v>
      </c>
      <c r="J31" s="11">
        <v>0.3095</v>
      </c>
      <c r="K31" s="11">
        <v>0.30580000000000002</v>
      </c>
      <c r="L31" s="11">
        <v>0.3095</v>
      </c>
      <c r="M31" s="11">
        <v>0.80189999999999995</v>
      </c>
      <c r="N31" s="11">
        <v>0.80279999999999996</v>
      </c>
      <c r="O31" s="11">
        <v>0.81830000000000003</v>
      </c>
      <c r="P31" s="11">
        <v>0.60128999999999999</v>
      </c>
      <c r="Q31" s="11">
        <v>0.61280000000000001</v>
      </c>
      <c r="R31" s="11">
        <v>0.61033999999999999</v>
      </c>
      <c r="S31" s="34">
        <v>0.17430000000000001</v>
      </c>
      <c r="T31" s="34">
        <v>0.17560000000000001</v>
      </c>
      <c r="U31" s="34">
        <v>0.1739</v>
      </c>
    </row>
    <row r="32" spans="1:21">
      <c r="A32" s="33"/>
      <c r="B32" s="33"/>
      <c r="C32" s="33" t="s">
        <v>116</v>
      </c>
      <c r="D32" s="34">
        <v>0.16309999999999999</v>
      </c>
      <c r="E32" s="34">
        <v>0.1565</v>
      </c>
      <c r="F32" s="34">
        <v>0.16489999999999999</v>
      </c>
      <c r="G32" s="34">
        <v>0.1103</v>
      </c>
      <c r="H32" s="34">
        <v>0.10290000000000001</v>
      </c>
      <c r="I32" s="34">
        <v>0.1118</v>
      </c>
      <c r="J32" s="11">
        <v>0.4194</v>
      </c>
      <c r="K32" s="11">
        <v>0.4148</v>
      </c>
      <c r="L32" s="11">
        <v>0.41128999999999999</v>
      </c>
      <c r="M32" s="11">
        <v>0.82930000000000004</v>
      </c>
      <c r="N32" s="11">
        <v>0.82210000000000005</v>
      </c>
      <c r="O32" s="11">
        <v>0.82181000000000004</v>
      </c>
      <c r="P32" s="11">
        <v>0.77584500000000001</v>
      </c>
      <c r="Q32" s="11">
        <v>0.76380000000000003</v>
      </c>
      <c r="R32" s="11">
        <v>0.78129000000000004</v>
      </c>
      <c r="S32" s="34">
        <v>0.17849999999999999</v>
      </c>
      <c r="T32" s="34">
        <v>0.17330000000000001</v>
      </c>
      <c r="U32" s="34">
        <v>0.17030000000000001</v>
      </c>
    </row>
    <row r="33" spans="1:21">
      <c r="A33" s="33"/>
      <c r="B33" s="33"/>
      <c r="C33" s="10" t="s">
        <v>117</v>
      </c>
      <c r="D33" s="35">
        <v>0.1666</v>
      </c>
      <c r="E33" s="35">
        <v>0.16109999999999999</v>
      </c>
      <c r="F33" s="35">
        <v>0.1575</v>
      </c>
      <c r="G33" s="11">
        <v>0.18545</v>
      </c>
      <c r="H33" s="11">
        <v>0.16850000000000001</v>
      </c>
      <c r="I33" s="11">
        <v>0.16234000000000001</v>
      </c>
      <c r="J33" s="11">
        <v>0.31929999999999997</v>
      </c>
      <c r="K33" s="11">
        <v>0.3155</v>
      </c>
      <c r="L33" s="11">
        <v>0.31859999999999999</v>
      </c>
      <c r="M33" s="11">
        <v>0.66239999999999999</v>
      </c>
      <c r="N33" s="11">
        <v>0.64229999999999998</v>
      </c>
      <c r="O33" s="11">
        <v>0.67430000000000001</v>
      </c>
      <c r="P33" s="11">
        <v>0.61629999999999996</v>
      </c>
      <c r="Q33" s="11">
        <v>0.61240000000000006</v>
      </c>
      <c r="R33" s="11">
        <v>0.66586000000000001</v>
      </c>
      <c r="S33" s="11">
        <v>0.1623</v>
      </c>
      <c r="T33" s="11">
        <v>0.1605</v>
      </c>
      <c r="U33" s="11">
        <v>0.1643</v>
      </c>
    </row>
    <row r="34" spans="1:21">
      <c r="A34" s="33"/>
      <c r="B34" s="33"/>
      <c r="C34" s="33"/>
      <c r="D34" s="35"/>
      <c r="E34" s="35"/>
      <c r="F34" s="35"/>
      <c r="H34" s="11"/>
      <c r="I34" s="11"/>
      <c r="J34" s="11"/>
      <c r="K34" s="11"/>
      <c r="N34" s="11"/>
      <c r="O34" s="11"/>
      <c r="P34" s="11"/>
      <c r="Q34" s="11"/>
    </row>
    <row r="35" spans="1:21">
      <c r="A35" s="33"/>
      <c r="B35" s="33"/>
      <c r="C35" s="33"/>
      <c r="D35" s="33"/>
      <c r="E35" s="33"/>
      <c r="F35" s="33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</row>
    <row r="36" spans="1:21">
      <c r="A36" s="33" t="s">
        <v>119</v>
      </c>
      <c r="B36" s="33"/>
      <c r="C36" s="165">
        <f>AVERAGE(D9:F9)</f>
        <v>0.16316666666666668</v>
      </c>
      <c r="D36" s="165"/>
      <c r="E36" s="165"/>
      <c r="F36" s="165">
        <f>AVERAGE(G9:I9)</f>
        <v>0.23433333333333331</v>
      </c>
      <c r="G36" s="165"/>
      <c r="H36" s="165"/>
      <c r="I36" s="165">
        <f>AVERAGE(J9:L9)</f>
        <v>0.39406666666666662</v>
      </c>
      <c r="J36" s="165"/>
      <c r="K36" s="165"/>
      <c r="L36" s="165">
        <f t="shared" ref="L36:L45" si="0">AVERAGE(M9:O9)</f>
        <v>0.75883333333333336</v>
      </c>
      <c r="M36" s="165"/>
      <c r="N36" s="165"/>
      <c r="O36" s="165">
        <f>AVERAGE(P9:R9)</f>
        <v>0.89403333333333335</v>
      </c>
      <c r="P36" s="165"/>
      <c r="Q36" s="165"/>
      <c r="R36" s="165">
        <f>AVERAGE(S9:U9)</f>
        <v>0.22206666666666666</v>
      </c>
    </row>
    <row r="37" spans="1:21">
      <c r="A37" s="33" t="s">
        <v>120</v>
      </c>
      <c r="B37" s="33"/>
      <c r="C37" s="165">
        <f t="shared" ref="C37:C42" si="1">AVERAGE(D10:F10)</f>
        <v>0.16400000000000001</v>
      </c>
      <c r="D37" s="165"/>
      <c r="E37" s="165"/>
      <c r="F37" s="165">
        <f t="shared" ref="F37:F43" si="2">AVERAGE(G10:I10)</f>
        <v>0.20943333333333333</v>
      </c>
      <c r="G37" s="165"/>
      <c r="H37" s="165"/>
      <c r="I37" s="165">
        <f t="shared" ref="I37:I43" si="3">AVERAGE(J10:L10)</f>
        <v>0.41189999999999999</v>
      </c>
      <c r="J37" s="165"/>
      <c r="K37" s="165"/>
      <c r="L37" s="165">
        <f t="shared" si="0"/>
        <v>0.56543333333333334</v>
      </c>
      <c r="M37" s="165"/>
      <c r="N37" s="165"/>
      <c r="O37" s="165">
        <f t="shared" ref="O37:O43" si="4">AVERAGE(P10:R10)</f>
        <v>0.92003333333333337</v>
      </c>
      <c r="P37" s="165"/>
      <c r="Q37" s="165"/>
      <c r="R37" s="165">
        <f t="shared" ref="R37:R45" si="5">AVERAGE(S10:U10)</f>
        <v>0.22530000000000003</v>
      </c>
    </row>
    <row r="38" spans="1:21">
      <c r="A38" s="33"/>
      <c r="B38" s="33"/>
      <c r="C38" s="165">
        <f t="shared" si="1"/>
        <v>0.16200000000000001</v>
      </c>
      <c r="D38" s="165"/>
      <c r="E38" s="165"/>
      <c r="F38" s="165">
        <f t="shared" si="2"/>
        <v>0.18439999999999998</v>
      </c>
      <c r="G38" s="165"/>
      <c r="H38" s="165"/>
      <c r="I38" s="165">
        <f t="shared" si="3"/>
        <v>0.21340000000000001</v>
      </c>
      <c r="J38" s="165"/>
      <c r="K38" s="165"/>
      <c r="L38" s="165">
        <f t="shared" si="0"/>
        <v>0.6429999999999999</v>
      </c>
      <c r="M38" s="165"/>
      <c r="N38" s="165"/>
      <c r="O38" s="165">
        <f t="shared" si="4"/>
        <v>0.87809999999999988</v>
      </c>
      <c r="P38" s="165"/>
      <c r="Q38" s="165"/>
      <c r="R38" s="165">
        <f t="shared" si="5"/>
        <v>0.21540000000000001</v>
      </c>
    </row>
    <row r="39" spans="1:21">
      <c r="A39" s="11"/>
      <c r="B39" s="11"/>
      <c r="C39" s="165">
        <f t="shared" si="1"/>
        <v>0.16643333333333335</v>
      </c>
      <c r="D39" s="165"/>
      <c r="E39" s="165"/>
      <c r="F39" s="165">
        <f t="shared" si="2"/>
        <v>0.22266666666666668</v>
      </c>
      <c r="G39" s="165"/>
      <c r="H39" s="165"/>
      <c r="I39" s="165">
        <f t="shared" si="3"/>
        <v>0.43556666666666666</v>
      </c>
      <c r="J39" s="165"/>
      <c r="K39" s="165"/>
      <c r="L39" s="165">
        <f t="shared" si="0"/>
        <v>0.65459999999999996</v>
      </c>
      <c r="M39" s="165"/>
      <c r="N39" s="165"/>
      <c r="O39" s="165">
        <f t="shared" si="4"/>
        <v>0.85411999999999999</v>
      </c>
      <c r="P39" s="165"/>
      <c r="Q39" s="165"/>
      <c r="R39" s="165">
        <f t="shared" si="5"/>
        <v>0.21563333333333334</v>
      </c>
    </row>
    <row r="40" spans="1:21">
      <c r="A40" s="11"/>
      <c r="B40" s="11"/>
      <c r="C40" s="165">
        <f t="shared" si="1"/>
        <v>0.17363333333333333</v>
      </c>
      <c r="D40" s="165"/>
      <c r="E40" s="165"/>
      <c r="F40" s="165">
        <f t="shared" si="2"/>
        <v>0.16600000000000001</v>
      </c>
      <c r="G40" s="165"/>
      <c r="H40" s="165"/>
      <c r="I40" s="165">
        <f t="shared" si="3"/>
        <v>0.36293333333333333</v>
      </c>
      <c r="J40" s="165"/>
      <c r="K40" s="165"/>
      <c r="L40" s="165">
        <f t="shared" si="0"/>
        <v>0.57493333333333341</v>
      </c>
      <c r="M40" s="165"/>
      <c r="N40" s="165"/>
      <c r="O40" s="165">
        <f t="shared" si="4"/>
        <v>0.8823333333333333</v>
      </c>
      <c r="P40" s="165"/>
      <c r="Q40" s="165"/>
      <c r="R40" s="165">
        <f t="shared" si="5"/>
        <v>0.18366666666666667</v>
      </c>
    </row>
    <row r="41" spans="1:21">
      <c r="A41" s="11"/>
      <c r="B41" s="11"/>
      <c r="C41" s="165">
        <f t="shared" si="1"/>
        <v>0.16543333333333335</v>
      </c>
      <c r="D41" s="165"/>
      <c r="E41" s="165"/>
      <c r="F41" s="165">
        <f t="shared" si="2"/>
        <v>0.19333333333333336</v>
      </c>
      <c r="G41" s="165"/>
      <c r="H41" s="165"/>
      <c r="I41" s="165">
        <f t="shared" si="3"/>
        <v>0.37473333333333336</v>
      </c>
      <c r="J41" s="165"/>
      <c r="K41" s="165"/>
      <c r="L41" s="165">
        <f t="shared" si="0"/>
        <v>0.85287666666666662</v>
      </c>
      <c r="M41" s="165"/>
      <c r="N41" s="165"/>
      <c r="O41" s="165">
        <f t="shared" si="4"/>
        <v>0.90439999999999998</v>
      </c>
      <c r="P41" s="165"/>
      <c r="Q41" s="165"/>
      <c r="R41" s="165">
        <f t="shared" si="5"/>
        <v>0.16279999999999997</v>
      </c>
    </row>
    <row r="42" spans="1:21">
      <c r="A42" s="11"/>
      <c r="B42" s="11"/>
      <c r="C42" s="165">
        <f t="shared" si="1"/>
        <v>0.16723333333333334</v>
      </c>
      <c r="D42" s="165"/>
      <c r="E42" s="165"/>
      <c r="F42" s="165">
        <f t="shared" si="2"/>
        <v>0.13436666666666666</v>
      </c>
      <c r="G42" s="165"/>
      <c r="H42" s="165"/>
      <c r="I42" s="165">
        <f t="shared" si="3"/>
        <v>0.36353333333333332</v>
      </c>
      <c r="J42" s="165"/>
      <c r="K42" s="165"/>
      <c r="L42" s="165">
        <f t="shared" si="0"/>
        <v>0.75430000000000008</v>
      </c>
      <c r="M42" s="165"/>
      <c r="N42" s="165"/>
      <c r="O42" s="165">
        <f t="shared" si="4"/>
        <v>0.98668333333333325</v>
      </c>
      <c r="P42" s="165"/>
      <c r="Q42" s="165"/>
      <c r="R42" s="165">
        <f t="shared" si="5"/>
        <v>0.22373333333333334</v>
      </c>
    </row>
    <row r="43" spans="1:21">
      <c r="A43" s="11"/>
      <c r="B43" s="11"/>
      <c r="C43" s="165">
        <f>AVERAGE(D16:F16)</f>
        <v>0.16196666666666668</v>
      </c>
      <c r="D43" s="165"/>
      <c r="E43" s="165"/>
      <c r="F43" s="165">
        <f t="shared" si="2"/>
        <v>0.19526666666666667</v>
      </c>
      <c r="G43" s="165"/>
      <c r="H43" s="165"/>
      <c r="I43" s="165">
        <f t="shared" si="3"/>
        <v>0.36313666666666666</v>
      </c>
      <c r="J43" s="165"/>
      <c r="K43" s="165"/>
      <c r="L43" s="165">
        <f t="shared" si="0"/>
        <v>0.83829999999999993</v>
      </c>
      <c r="M43" s="165"/>
      <c r="N43" s="165"/>
      <c r="O43" s="165">
        <f t="shared" si="4"/>
        <v>0.95236666666666669</v>
      </c>
      <c r="P43" s="165"/>
      <c r="Q43" s="165"/>
      <c r="R43" s="165">
        <f t="shared" si="5"/>
        <v>0.23069999999999999</v>
      </c>
    </row>
    <row r="44" spans="1:21">
      <c r="A44" s="11"/>
      <c r="B44" s="11"/>
      <c r="C44" s="165">
        <f>AVERAGE(D17:F17)</f>
        <v>0.16253333333333334</v>
      </c>
      <c r="D44" s="165"/>
      <c r="E44" s="165"/>
      <c r="F44" s="165">
        <f>AVERAGE(G17:I17)</f>
        <v>0.11433333333333333</v>
      </c>
      <c r="G44" s="165"/>
      <c r="H44" s="165"/>
      <c r="I44" s="165">
        <f>AVERAGE(J17:L17)</f>
        <v>0.43363333333333332</v>
      </c>
      <c r="J44" s="165"/>
      <c r="K44" s="165"/>
      <c r="L44" s="165">
        <f t="shared" si="0"/>
        <v>0.86029999999999995</v>
      </c>
      <c r="M44" s="165"/>
      <c r="N44" s="165"/>
      <c r="O44" s="165">
        <f>AVERAGE(P17:R17)</f>
        <v>0.91436666666666666</v>
      </c>
      <c r="P44" s="165"/>
      <c r="Q44" s="165"/>
      <c r="R44" s="165">
        <f t="shared" si="5"/>
        <v>0.21543666666666669</v>
      </c>
    </row>
    <row r="45" spans="1:21">
      <c r="A45" s="36"/>
      <c r="B45" s="36"/>
      <c r="C45" s="165">
        <f>AVERAGE(D18:F18)</f>
        <v>0.17130000000000001</v>
      </c>
      <c r="D45" s="165"/>
      <c r="E45" s="165"/>
      <c r="F45" s="165">
        <f>AVERAGE(G18:I18)</f>
        <v>0.23629999999999998</v>
      </c>
      <c r="G45" s="165"/>
      <c r="H45" s="165"/>
      <c r="I45" s="165">
        <f>AVERAGE(J18:L18)</f>
        <v>0.43601000000000001</v>
      </c>
      <c r="J45" s="165"/>
      <c r="K45" s="165"/>
      <c r="L45" s="165">
        <f t="shared" si="0"/>
        <v>0.86770000000000003</v>
      </c>
      <c r="M45" s="165"/>
      <c r="N45" s="165"/>
      <c r="O45" s="165">
        <f>AVERAGE(P18:R18)</f>
        <v>0.96001333333333339</v>
      </c>
      <c r="P45" s="165"/>
      <c r="Q45" s="165"/>
      <c r="R45" s="165">
        <f t="shared" si="5"/>
        <v>0.22193333333333332</v>
      </c>
    </row>
    <row r="46" spans="1:21">
      <c r="A46" s="36"/>
      <c r="B46" s="36"/>
      <c r="C46" s="165"/>
      <c r="D46" s="166"/>
      <c r="E46" s="166"/>
      <c r="F46" s="166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</row>
    <row r="47" spans="1:21">
      <c r="A47" s="36" t="s">
        <v>121</v>
      </c>
      <c r="B47" s="36"/>
      <c r="C47" s="165">
        <f>AVERAGE(D24:F24)</f>
        <v>0.16209999999999999</v>
      </c>
      <c r="D47" s="165"/>
      <c r="E47" s="165"/>
      <c r="F47" s="165">
        <f>AVERAGE(G24:I24)</f>
        <v>0.19620000000000001</v>
      </c>
      <c r="G47" s="165"/>
      <c r="H47" s="165"/>
      <c r="I47" s="165">
        <f>AVERAGE(J24:L24)</f>
        <v>0.22096666666666667</v>
      </c>
      <c r="J47" s="165"/>
      <c r="K47" s="165"/>
      <c r="L47" s="165">
        <f t="shared" ref="L47:L56" si="6">AVERAGE(M24:O24)</f>
        <v>0.44600000000000001</v>
      </c>
      <c r="M47" s="165"/>
      <c r="N47" s="165"/>
      <c r="O47" s="165">
        <f>AVERAGE(P24:R24)</f>
        <v>0.72009999999999996</v>
      </c>
      <c r="P47" s="165"/>
      <c r="Q47" s="165"/>
      <c r="R47" s="165">
        <f>AVERAGE(S24:U24)</f>
        <v>0.19360333333333332</v>
      </c>
    </row>
    <row r="48" spans="1:21">
      <c r="A48" s="36"/>
      <c r="B48" s="36"/>
      <c r="C48" s="165">
        <f t="shared" ref="C48:C56" si="7">AVERAGE(D25:F25)</f>
        <v>0.15987999999999999</v>
      </c>
      <c r="D48" s="165"/>
      <c r="E48" s="165"/>
      <c r="F48" s="165">
        <f t="shared" ref="F48:F56" si="8">AVERAGE(G25:I25)</f>
        <v>0.1628</v>
      </c>
      <c r="G48" s="165"/>
      <c r="H48" s="165"/>
      <c r="I48" s="165">
        <f t="shared" ref="I48:I56" si="9">AVERAGE(J25:L25)</f>
        <v>0.37916666666666665</v>
      </c>
      <c r="J48" s="165"/>
      <c r="K48" s="165"/>
      <c r="L48" s="165">
        <f t="shared" si="6"/>
        <v>0.41333333333333333</v>
      </c>
      <c r="M48" s="165"/>
      <c r="N48" s="165"/>
      <c r="O48" s="165">
        <f t="shared" ref="O48:O56" si="10">AVERAGE(P25:R25)</f>
        <v>0.67936666666666667</v>
      </c>
      <c r="P48" s="165"/>
      <c r="Q48" s="165"/>
      <c r="R48" s="165">
        <f t="shared" ref="R48:R56" si="11">AVERAGE(S25:U25)</f>
        <v>0.19320000000000001</v>
      </c>
    </row>
    <row r="49" spans="1:18">
      <c r="A49" s="36"/>
      <c r="B49" s="36"/>
      <c r="C49" s="165">
        <f t="shared" si="7"/>
        <v>0.16443333333333332</v>
      </c>
      <c r="D49" s="165"/>
      <c r="E49" s="165"/>
      <c r="F49" s="165">
        <f t="shared" si="8"/>
        <v>0.158</v>
      </c>
      <c r="G49" s="165"/>
      <c r="H49" s="165"/>
      <c r="I49" s="165">
        <f t="shared" si="9"/>
        <v>0.1925</v>
      </c>
      <c r="J49" s="165"/>
      <c r="K49" s="165"/>
      <c r="L49" s="165">
        <f t="shared" si="6"/>
        <v>0.5249733333333334</v>
      </c>
      <c r="M49" s="165"/>
      <c r="N49" s="165"/>
      <c r="O49" s="165">
        <f t="shared" si="10"/>
        <v>0.76290000000000002</v>
      </c>
      <c r="P49" s="165"/>
      <c r="Q49" s="165"/>
      <c r="R49" s="165">
        <f t="shared" si="11"/>
        <v>0.19431666666666667</v>
      </c>
    </row>
    <row r="50" spans="1:18">
      <c r="A50" s="36"/>
      <c r="B50" s="36"/>
      <c r="C50" s="165">
        <f t="shared" si="7"/>
        <v>0.16500000000000001</v>
      </c>
      <c r="D50" s="165"/>
      <c r="E50" s="165"/>
      <c r="F50" s="165">
        <f t="shared" si="8"/>
        <v>0.17586666666666664</v>
      </c>
      <c r="G50" s="165"/>
      <c r="H50" s="165"/>
      <c r="I50" s="165">
        <f t="shared" si="9"/>
        <v>0.23069999999999999</v>
      </c>
      <c r="J50" s="165"/>
      <c r="K50" s="165"/>
      <c r="L50" s="165">
        <f t="shared" si="6"/>
        <v>0.6384333333333333</v>
      </c>
      <c r="M50" s="165"/>
      <c r="N50" s="165"/>
      <c r="O50" s="165">
        <f t="shared" si="10"/>
        <v>0.7783133333333333</v>
      </c>
      <c r="P50" s="165"/>
      <c r="Q50" s="165"/>
      <c r="R50" s="165">
        <f t="shared" si="11"/>
        <v>0.18636666666666665</v>
      </c>
    </row>
    <row r="51" spans="1:18">
      <c r="A51" s="36"/>
      <c r="B51" s="36"/>
      <c r="C51" s="165">
        <f t="shared" si="7"/>
        <v>0.16386666666666669</v>
      </c>
      <c r="D51" s="165"/>
      <c r="E51" s="165"/>
      <c r="F51" s="165">
        <f t="shared" si="8"/>
        <v>0.15566666666666668</v>
      </c>
      <c r="G51" s="165"/>
      <c r="H51" s="165"/>
      <c r="I51" s="165">
        <f t="shared" si="9"/>
        <v>0.32496666666666663</v>
      </c>
      <c r="J51" s="165"/>
      <c r="K51" s="165"/>
      <c r="L51" s="165">
        <f t="shared" si="6"/>
        <v>0.53239999999999998</v>
      </c>
      <c r="M51" s="165"/>
      <c r="N51" s="165"/>
      <c r="O51" s="165">
        <f t="shared" si="10"/>
        <v>0.61743333333333339</v>
      </c>
      <c r="P51" s="165"/>
      <c r="Q51" s="165"/>
      <c r="R51" s="165">
        <f t="shared" si="11"/>
        <v>0.15359999999999999</v>
      </c>
    </row>
    <row r="52" spans="1:18">
      <c r="A52" s="36"/>
      <c r="B52" s="36"/>
      <c r="C52" s="165">
        <f t="shared" si="7"/>
        <v>0.16109999999999999</v>
      </c>
      <c r="D52" s="165"/>
      <c r="E52" s="165"/>
      <c r="F52" s="165">
        <f t="shared" si="8"/>
        <v>0.1648</v>
      </c>
      <c r="G52" s="165"/>
      <c r="H52" s="165"/>
      <c r="I52" s="165">
        <f t="shared" si="9"/>
        <v>0.32676666666666671</v>
      </c>
      <c r="J52" s="165"/>
      <c r="K52" s="165"/>
      <c r="L52" s="165">
        <f t="shared" si="6"/>
        <v>0.81743333333333335</v>
      </c>
      <c r="M52" s="165"/>
      <c r="N52" s="165"/>
      <c r="O52" s="165">
        <f t="shared" si="10"/>
        <v>0.85363333333333336</v>
      </c>
      <c r="P52" s="165"/>
      <c r="Q52" s="165"/>
      <c r="R52" s="165">
        <f t="shared" si="11"/>
        <v>0.15566666666666668</v>
      </c>
    </row>
    <row r="53" spans="1:18">
      <c r="A53" s="36"/>
      <c r="B53" s="36"/>
      <c r="C53" s="165">
        <f t="shared" si="7"/>
        <v>0.16066666666666665</v>
      </c>
      <c r="D53" s="165"/>
      <c r="E53" s="165"/>
      <c r="F53" s="165">
        <f t="shared" si="8"/>
        <v>0.12493333333333333</v>
      </c>
      <c r="G53" s="165"/>
      <c r="H53" s="165"/>
      <c r="I53" s="165">
        <f t="shared" si="9"/>
        <v>0.31236666666666668</v>
      </c>
      <c r="J53" s="165"/>
      <c r="K53" s="165"/>
      <c r="L53" s="165">
        <f t="shared" si="6"/>
        <v>0.70906666666666662</v>
      </c>
      <c r="M53" s="165"/>
      <c r="N53" s="165"/>
      <c r="O53" s="165">
        <f t="shared" si="10"/>
        <v>0.74970999999999999</v>
      </c>
      <c r="P53" s="165"/>
      <c r="Q53" s="165"/>
      <c r="R53" s="165">
        <f t="shared" si="11"/>
        <v>0.1933</v>
      </c>
    </row>
    <row r="54" spans="1:18">
      <c r="A54" s="36"/>
      <c r="B54" s="36"/>
      <c r="C54" s="165">
        <f t="shared" si="7"/>
        <v>0.15930000000000002</v>
      </c>
      <c r="D54" s="165"/>
      <c r="E54" s="165"/>
      <c r="F54" s="165">
        <f t="shared" si="8"/>
        <v>0.16286666666666669</v>
      </c>
      <c r="G54" s="165"/>
      <c r="H54" s="165"/>
      <c r="I54" s="165">
        <f t="shared" si="9"/>
        <v>0.30826666666666663</v>
      </c>
      <c r="J54" s="165"/>
      <c r="K54" s="165"/>
      <c r="L54" s="165">
        <f t="shared" si="6"/>
        <v>0.80766666666666664</v>
      </c>
      <c r="M54" s="165"/>
      <c r="N54" s="165"/>
      <c r="O54" s="165">
        <f t="shared" si="10"/>
        <v>0.60814333333333337</v>
      </c>
      <c r="P54" s="165"/>
      <c r="Q54" s="165"/>
      <c r="R54" s="165">
        <f t="shared" si="11"/>
        <v>0.17460000000000001</v>
      </c>
    </row>
    <row r="55" spans="1:18">
      <c r="A55" s="36"/>
      <c r="B55" s="36"/>
      <c r="C55" s="165">
        <f t="shared" si="7"/>
        <v>0.1615</v>
      </c>
      <c r="D55" s="165"/>
      <c r="E55" s="165"/>
      <c r="F55" s="165">
        <f t="shared" si="8"/>
        <v>0.10833333333333334</v>
      </c>
      <c r="G55" s="165"/>
      <c r="H55" s="165"/>
      <c r="I55" s="165">
        <f t="shared" si="9"/>
        <v>0.41516333333333333</v>
      </c>
      <c r="J55" s="165"/>
      <c r="K55" s="165"/>
      <c r="L55" s="165">
        <f t="shared" si="6"/>
        <v>0.82440333333333349</v>
      </c>
      <c r="M55" s="165"/>
      <c r="N55" s="165"/>
      <c r="O55" s="165">
        <f t="shared" si="10"/>
        <v>0.77364500000000014</v>
      </c>
      <c r="P55" s="165"/>
      <c r="Q55" s="165"/>
      <c r="R55" s="165">
        <f t="shared" si="11"/>
        <v>0.17403333333333335</v>
      </c>
    </row>
    <row r="56" spans="1:18">
      <c r="A56" s="36"/>
      <c r="B56" s="36"/>
      <c r="C56" s="165">
        <f t="shared" si="7"/>
        <v>0.16173333333333331</v>
      </c>
      <c r="D56" s="165"/>
      <c r="E56" s="165"/>
      <c r="F56" s="165">
        <f t="shared" si="8"/>
        <v>0.17209666666666668</v>
      </c>
      <c r="G56" s="165"/>
      <c r="H56" s="165"/>
      <c r="I56" s="165">
        <f t="shared" si="9"/>
        <v>0.31780000000000003</v>
      </c>
      <c r="J56" s="165"/>
      <c r="K56" s="165"/>
      <c r="L56" s="165">
        <f t="shared" si="6"/>
        <v>0.65966666666666673</v>
      </c>
      <c r="M56" s="165"/>
      <c r="N56" s="165"/>
      <c r="O56" s="165">
        <f t="shared" si="10"/>
        <v>0.63151999999999997</v>
      </c>
      <c r="P56" s="165"/>
      <c r="Q56" s="165"/>
      <c r="R56" s="165">
        <f t="shared" si="11"/>
        <v>0.16236666666666666</v>
      </c>
    </row>
    <row r="57" spans="1:18">
      <c r="A57" s="36"/>
      <c r="B57" s="36"/>
      <c r="C57" s="165"/>
      <c r="D57" s="165"/>
      <c r="E57" s="165"/>
      <c r="F57" s="165"/>
      <c r="G57" s="165"/>
      <c r="H57" s="165"/>
      <c r="I57" s="165"/>
      <c r="J57" s="165"/>
      <c r="K57" s="165"/>
      <c r="L57" s="165"/>
      <c r="M57" s="165"/>
      <c r="N57" s="165"/>
      <c r="O57" s="165"/>
      <c r="P57" s="165"/>
      <c r="Q57" s="165"/>
      <c r="R57" s="165"/>
    </row>
    <row r="58" spans="1:18">
      <c r="A58" s="36"/>
      <c r="B58" s="36"/>
      <c r="C58" s="165"/>
      <c r="D58" s="165"/>
      <c r="E58" s="165"/>
      <c r="F58" s="165"/>
      <c r="G58" s="165"/>
      <c r="H58" s="165"/>
      <c r="I58" s="165"/>
      <c r="J58" s="165"/>
      <c r="K58" s="165"/>
      <c r="L58" s="165"/>
      <c r="M58" s="165"/>
      <c r="N58" s="165"/>
      <c r="O58" s="165"/>
      <c r="P58" s="165"/>
      <c r="Q58" s="165"/>
      <c r="R58" s="165"/>
    </row>
    <row r="59" spans="1:18">
      <c r="A59" s="36"/>
      <c r="B59" s="36"/>
      <c r="C59" s="165" t="s">
        <v>122</v>
      </c>
      <c r="D59" s="165"/>
      <c r="E59" s="165"/>
      <c r="F59" s="165" t="s">
        <v>123</v>
      </c>
      <c r="G59" s="165"/>
      <c r="H59" s="165"/>
      <c r="I59" s="165"/>
      <c r="J59" s="165"/>
      <c r="K59" s="165"/>
      <c r="L59" s="165"/>
      <c r="M59" s="165"/>
      <c r="N59" s="165"/>
      <c r="O59" s="165"/>
      <c r="P59" s="165"/>
      <c r="Q59" s="165"/>
      <c r="R59" s="165"/>
    </row>
    <row r="60" spans="1:18">
      <c r="A60" s="36" t="s">
        <v>124</v>
      </c>
      <c r="B60" s="36"/>
      <c r="C60" s="165">
        <f t="shared" ref="C60:C69" si="12">C36-C47</f>
        <v>1.066666666666688E-3</v>
      </c>
      <c r="D60" s="165"/>
      <c r="E60" s="165"/>
      <c r="F60" s="165">
        <f t="shared" ref="F60:F69" si="13">F36-F47</f>
        <v>3.8133333333333297E-2</v>
      </c>
      <c r="G60" s="165"/>
      <c r="H60" s="165"/>
      <c r="I60" s="165">
        <f t="shared" ref="I60:I69" si="14">I36-I47</f>
        <v>0.17309999999999995</v>
      </c>
      <c r="J60" s="165"/>
      <c r="K60" s="165"/>
      <c r="L60" s="165">
        <f t="shared" ref="L60:L69" si="15">L36-L47</f>
        <v>0.31283333333333335</v>
      </c>
      <c r="M60" s="165"/>
      <c r="N60" s="165"/>
      <c r="O60" s="165">
        <f t="shared" ref="O60:O69" si="16">O36-O47</f>
        <v>0.17393333333333338</v>
      </c>
      <c r="P60" s="165"/>
      <c r="Q60" s="165"/>
      <c r="R60" s="165">
        <f>R36-R47</f>
        <v>2.846333333333334E-2</v>
      </c>
    </row>
    <row r="61" spans="1:18">
      <c r="A61" s="36"/>
      <c r="B61" s="36"/>
      <c r="C61" s="165">
        <f t="shared" si="12"/>
        <v>4.1200000000000125E-3</v>
      </c>
      <c r="D61" s="165"/>
      <c r="E61" s="165"/>
      <c r="F61" s="165">
        <f t="shared" si="13"/>
        <v>4.6633333333333332E-2</v>
      </c>
      <c r="G61" s="165"/>
      <c r="H61" s="165"/>
      <c r="I61" s="165">
        <f t="shared" si="14"/>
        <v>3.2733333333333337E-2</v>
      </c>
      <c r="J61" s="165"/>
      <c r="K61" s="165"/>
      <c r="L61" s="165">
        <f t="shared" si="15"/>
        <v>0.15210000000000001</v>
      </c>
      <c r="M61" s="165"/>
      <c r="N61" s="165"/>
      <c r="O61" s="165">
        <f t="shared" si="16"/>
        <v>0.2406666666666667</v>
      </c>
      <c r="P61" s="166"/>
      <c r="Q61" s="166"/>
      <c r="R61" s="165">
        <f t="shared" ref="R61:R69" si="17">R37-R48</f>
        <v>3.2100000000000017E-2</v>
      </c>
    </row>
    <row r="62" spans="1:18">
      <c r="A62" s="36"/>
      <c r="B62" s="36"/>
      <c r="C62" s="165">
        <f t="shared" si="12"/>
        <v>-2.4333333333333151E-3</v>
      </c>
      <c r="D62" s="165"/>
      <c r="E62" s="165"/>
      <c r="F62" s="165">
        <f t="shared" si="13"/>
        <v>2.6399999999999979E-2</v>
      </c>
      <c r="G62" s="165"/>
      <c r="H62" s="165"/>
      <c r="I62" s="165">
        <f t="shared" si="14"/>
        <v>2.0900000000000002E-2</v>
      </c>
      <c r="J62" s="165"/>
      <c r="K62" s="165"/>
      <c r="L62" s="165">
        <f t="shared" si="15"/>
        <v>0.1180266666666665</v>
      </c>
      <c r="M62" s="165"/>
      <c r="N62" s="165"/>
      <c r="O62" s="165">
        <f t="shared" si="16"/>
        <v>0.11519999999999986</v>
      </c>
      <c r="P62" s="166"/>
      <c r="Q62" s="166"/>
      <c r="R62" s="165">
        <f t="shared" si="17"/>
        <v>2.1083333333333343E-2</v>
      </c>
    </row>
    <row r="63" spans="1:18">
      <c r="A63" s="36"/>
      <c r="B63" s="36"/>
      <c r="C63" s="165">
        <f t="shared" si="12"/>
        <v>1.433333333333342E-3</v>
      </c>
      <c r="D63" s="165"/>
      <c r="E63" s="165"/>
      <c r="F63" s="165">
        <f t="shared" si="13"/>
        <v>4.6800000000000036E-2</v>
      </c>
      <c r="G63" s="165"/>
      <c r="H63" s="165"/>
      <c r="I63" s="165">
        <f t="shared" si="14"/>
        <v>0.20486666666666667</v>
      </c>
      <c r="J63" s="165"/>
      <c r="K63" s="165"/>
      <c r="L63" s="165">
        <f t="shared" si="15"/>
        <v>1.6166666666666663E-2</v>
      </c>
      <c r="M63" s="165"/>
      <c r="N63" s="165"/>
      <c r="O63" s="165">
        <f t="shared" si="16"/>
        <v>7.5806666666666689E-2</v>
      </c>
      <c r="P63" s="166"/>
      <c r="Q63" s="166"/>
      <c r="R63" s="165">
        <f t="shared" si="17"/>
        <v>2.9266666666666691E-2</v>
      </c>
    </row>
    <row r="64" spans="1:18">
      <c r="A64" s="36"/>
      <c r="B64" s="36"/>
      <c r="C64" s="165">
        <f t="shared" si="12"/>
        <v>9.7666666666666457E-3</v>
      </c>
      <c r="D64" s="165"/>
      <c r="E64" s="165"/>
      <c r="F64" s="165">
        <f t="shared" si="13"/>
        <v>1.0333333333333333E-2</v>
      </c>
      <c r="G64" s="165"/>
      <c r="H64" s="165"/>
      <c r="I64" s="165">
        <f t="shared" si="14"/>
        <v>3.7966666666666704E-2</v>
      </c>
      <c r="J64" s="165"/>
      <c r="K64" s="165"/>
      <c r="L64" s="165">
        <f t="shared" si="15"/>
        <v>4.2533333333333423E-2</v>
      </c>
      <c r="M64" s="165"/>
      <c r="N64" s="165"/>
      <c r="O64" s="165">
        <f t="shared" si="16"/>
        <v>0.26489999999999991</v>
      </c>
      <c r="P64" s="166"/>
      <c r="Q64" s="166"/>
      <c r="R64" s="165">
        <f t="shared" si="17"/>
        <v>3.0066666666666686E-2</v>
      </c>
    </row>
    <row r="65" spans="1:18">
      <c r="A65" s="36"/>
      <c r="B65" s="36"/>
      <c r="C65" s="165">
        <f t="shared" si="12"/>
        <v>4.3333333333333557E-3</v>
      </c>
      <c r="D65" s="165"/>
      <c r="E65" s="165"/>
      <c r="F65" s="165">
        <f t="shared" si="13"/>
        <v>2.8533333333333355E-2</v>
      </c>
      <c r="G65" s="165"/>
      <c r="H65" s="165"/>
      <c r="I65" s="165">
        <f t="shared" si="14"/>
        <v>4.7966666666666657E-2</v>
      </c>
      <c r="J65" s="165"/>
      <c r="K65" s="165"/>
      <c r="L65" s="165">
        <f t="shared" si="15"/>
        <v>3.5443333333333271E-2</v>
      </c>
      <c r="M65" s="165"/>
      <c r="N65" s="165"/>
      <c r="O65" s="165">
        <f t="shared" si="16"/>
        <v>5.0766666666666627E-2</v>
      </c>
      <c r="P65" s="166"/>
      <c r="Q65" s="166"/>
      <c r="R65" s="165">
        <f t="shared" si="17"/>
        <v>7.1333333333332971E-3</v>
      </c>
    </row>
    <row r="66" spans="1:18">
      <c r="A66" s="36"/>
      <c r="B66" s="36"/>
      <c r="C66" s="165">
        <f t="shared" si="12"/>
        <v>6.5666666666666929E-3</v>
      </c>
      <c r="D66" s="165"/>
      <c r="E66" s="165"/>
      <c r="F66" s="165">
        <f t="shared" si="13"/>
        <v>9.4333333333333352E-3</v>
      </c>
      <c r="G66" s="165"/>
      <c r="H66" s="165"/>
      <c r="I66" s="165">
        <f t="shared" si="14"/>
        <v>5.1166666666666638E-2</v>
      </c>
      <c r="J66" s="165"/>
      <c r="K66" s="165"/>
      <c r="L66" s="165">
        <f t="shared" si="15"/>
        <v>4.5233333333333459E-2</v>
      </c>
      <c r="M66" s="165"/>
      <c r="N66" s="165"/>
      <c r="O66" s="165">
        <f t="shared" si="16"/>
        <v>0.23697333333333326</v>
      </c>
      <c r="P66" s="166"/>
      <c r="Q66" s="35"/>
      <c r="R66" s="165">
        <f t="shared" si="17"/>
        <v>3.043333333333334E-2</v>
      </c>
    </row>
    <row r="67" spans="1:18">
      <c r="A67" s="36"/>
      <c r="B67" s="36"/>
      <c r="C67" s="165">
        <f t="shared" si="12"/>
        <v>2.6666666666666505E-3</v>
      </c>
      <c r="D67" s="165"/>
      <c r="E67" s="165"/>
      <c r="F67" s="165">
        <f t="shared" si="13"/>
        <v>3.2399999999999984E-2</v>
      </c>
      <c r="G67" s="165"/>
      <c r="H67" s="165"/>
      <c r="I67" s="165">
        <f t="shared" si="14"/>
        <v>5.487000000000003E-2</v>
      </c>
      <c r="J67" s="165"/>
      <c r="K67" s="165"/>
      <c r="L67" s="165">
        <f t="shared" si="15"/>
        <v>3.063333333333329E-2</v>
      </c>
      <c r="M67" s="165"/>
      <c r="N67" s="165"/>
      <c r="O67" s="165">
        <f t="shared" si="16"/>
        <v>0.34422333333333333</v>
      </c>
      <c r="P67" s="166"/>
      <c r="Q67" s="35"/>
      <c r="R67" s="165">
        <f t="shared" si="17"/>
        <v>5.6099999999999983E-2</v>
      </c>
    </row>
    <row r="68" spans="1:18">
      <c r="A68" s="36"/>
      <c r="B68" s="36"/>
      <c r="C68" s="165">
        <f t="shared" si="12"/>
        <v>1.0333333333333306E-3</v>
      </c>
      <c r="D68" s="165"/>
      <c r="E68" s="165"/>
      <c r="F68" s="165">
        <f t="shared" si="13"/>
        <v>5.9999999999999915E-3</v>
      </c>
      <c r="G68" s="165"/>
      <c r="H68" s="165"/>
      <c r="I68" s="165">
        <f t="shared" si="14"/>
        <v>1.8469999999999986E-2</v>
      </c>
      <c r="J68" s="165"/>
      <c r="K68" s="165"/>
      <c r="L68" s="165">
        <f t="shared" si="15"/>
        <v>3.5896666666666466E-2</v>
      </c>
      <c r="M68" s="165"/>
      <c r="N68" s="165"/>
      <c r="O68" s="165">
        <f t="shared" si="16"/>
        <v>0.14072166666666652</v>
      </c>
      <c r="P68" s="166"/>
      <c r="Q68" s="35"/>
      <c r="R68" s="165">
        <f t="shared" si="17"/>
        <v>4.1403333333333348E-2</v>
      </c>
    </row>
    <row r="69" spans="1:18">
      <c r="A69" s="36"/>
      <c r="B69" s="36"/>
      <c r="C69" s="165">
        <f t="shared" si="12"/>
        <v>9.5666666666666955E-3</v>
      </c>
      <c r="D69" s="165"/>
      <c r="E69" s="165"/>
      <c r="F69" s="165">
        <f t="shared" si="13"/>
        <v>6.4203333333333307E-2</v>
      </c>
      <c r="G69" s="165"/>
      <c r="H69" s="165"/>
      <c r="I69" s="165">
        <f t="shared" si="14"/>
        <v>0.11820999999999998</v>
      </c>
      <c r="J69" s="165"/>
      <c r="K69" s="165"/>
      <c r="L69" s="165">
        <f t="shared" si="15"/>
        <v>0.20803333333333329</v>
      </c>
      <c r="M69" s="165"/>
      <c r="N69" s="165"/>
      <c r="O69" s="165">
        <f t="shared" si="16"/>
        <v>0.32849333333333341</v>
      </c>
      <c r="P69" s="166"/>
      <c r="Q69" s="35"/>
      <c r="R69" s="165">
        <f t="shared" si="17"/>
        <v>5.9566666666666657E-2</v>
      </c>
    </row>
    <row r="70" spans="1:18">
      <c r="A70" s="36"/>
      <c r="B70" s="36"/>
      <c r="C70" s="165"/>
      <c r="D70" s="166"/>
      <c r="E70" s="166"/>
      <c r="F70" s="166"/>
      <c r="G70" s="166"/>
      <c r="H70" s="166"/>
      <c r="I70" s="166"/>
      <c r="J70" s="166"/>
      <c r="K70" s="166"/>
      <c r="L70" s="166"/>
      <c r="M70" s="166"/>
      <c r="N70" s="166"/>
      <c r="O70" s="166"/>
      <c r="P70" s="166"/>
      <c r="Q70" s="35"/>
      <c r="R70" s="35"/>
    </row>
    <row r="71" spans="1:18">
      <c r="A71" s="36"/>
      <c r="B71" s="36"/>
      <c r="C71" s="166"/>
      <c r="D71" s="166"/>
      <c r="E71" s="166"/>
      <c r="F71" s="166"/>
      <c r="G71" s="166"/>
      <c r="H71" s="166"/>
      <c r="I71" s="166"/>
      <c r="J71" s="166"/>
      <c r="K71" s="166"/>
      <c r="L71" s="166"/>
      <c r="M71" s="166"/>
      <c r="N71" s="166"/>
      <c r="O71" s="166"/>
      <c r="P71" s="166"/>
      <c r="Q71" s="35"/>
      <c r="R71" s="35"/>
    </row>
    <row r="72" spans="1:18">
      <c r="A72" s="36" t="s">
        <v>125</v>
      </c>
      <c r="B72" s="36"/>
      <c r="C72" s="166"/>
      <c r="D72" s="166"/>
      <c r="E72" s="166"/>
      <c r="F72" s="166">
        <f>F60-C60</f>
        <v>3.7066666666666609E-2</v>
      </c>
      <c r="G72" s="166"/>
      <c r="H72" s="166"/>
      <c r="I72" s="166">
        <f>I60-C60</f>
        <v>0.17203333333333326</v>
      </c>
      <c r="J72" s="166"/>
      <c r="K72" s="166"/>
      <c r="L72" s="166">
        <f>L60-C60</f>
        <v>0.31176666666666664</v>
      </c>
      <c r="M72" s="166"/>
      <c r="N72" s="166"/>
      <c r="O72" s="166">
        <f>O60-C60</f>
        <v>0.1728666666666667</v>
      </c>
      <c r="P72" s="166"/>
      <c r="Q72" s="35"/>
      <c r="R72" s="167">
        <f t="shared" ref="R72:R81" si="18">R60-C60</f>
        <v>2.7396666666666653E-2</v>
      </c>
    </row>
    <row r="73" spans="1:18">
      <c r="A73" s="36"/>
      <c r="B73" s="36"/>
      <c r="C73" s="166"/>
      <c r="D73" s="166"/>
      <c r="E73" s="166"/>
      <c r="F73" s="166">
        <f t="shared" ref="F73:F81" si="19">F61-C61</f>
        <v>4.251333333333332E-2</v>
      </c>
      <c r="G73" s="166"/>
      <c r="H73" s="166"/>
      <c r="I73" s="166">
        <f t="shared" ref="I73:I81" si="20">I61-C61</f>
        <v>2.8613333333333324E-2</v>
      </c>
      <c r="J73" s="166"/>
      <c r="K73" s="166"/>
      <c r="L73" s="166">
        <f t="shared" ref="L73:L81" si="21">L61-C61</f>
        <v>0.14798</v>
      </c>
      <c r="M73" s="166"/>
      <c r="N73" s="166"/>
      <c r="O73" s="166">
        <f t="shared" ref="O73:O81" si="22">O61-C61</f>
        <v>0.23654666666666668</v>
      </c>
      <c r="P73" s="166"/>
      <c r="Q73" s="35"/>
      <c r="R73" s="167">
        <f t="shared" si="18"/>
        <v>2.7980000000000005E-2</v>
      </c>
    </row>
    <row r="74" spans="1:18">
      <c r="A74" s="36"/>
      <c r="B74" s="36"/>
      <c r="C74" s="166"/>
      <c r="D74" s="166"/>
      <c r="E74" s="166"/>
      <c r="F74" s="166">
        <f t="shared" si="19"/>
        <v>2.8833333333333294E-2</v>
      </c>
      <c r="G74" s="166"/>
      <c r="H74" s="166"/>
      <c r="I74" s="166">
        <f t="shared" si="20"/>
        <v>2.3333333333333317E-2</v>
      </c>
      <c r="J74" s="166"/>
      <c r="K74" s="166"/>
      <c r="L74" s="166">
        <f t="shared" si="21"/>
        <v>0.12045999999999982</v>
      </c>
      <c r="M74" s="166"/>
      <c r="N74" s="166"/>
      <c r="O74" s="166">
        <f t="shared" si="22"/>
        <v>0.11763333333333317</v>
      </c>
      <c r="P74" s="166"/>
      <c r="Q74" s="35"/>
      <c r="R74" s="167">
        <f t="shared" si="18"/>
        <v>2.3516666666666658E-2</v>
      </c>
    </row>
    <row r="75" spans="1:18">
      <c r="A75" s="36"/>
      <c r="B75" s="36"/>
      <c r="C75" s="166"/>
      <c r="D75" s="166"/>
      <c r="E75" s="166"/>
      <c r="F75" s="166">
        <f t="shared" si="19"/>
        <v>4.5366666666666694E-2</v>
      </c>
      <c r="G75" s="166"/>
      <c r="H75" s="166"/>
      <c r="I75" s="166">
        <f t="shared" si="20"/>
        <v>0.20343333333333333</v>
      </c>
      <c r="J75" s="166"/>
      <c r="K75" s="166"/>
      <c r="L75" s="166">
        <f t="shared" si="21"/>
        <v>1.4733333333333321E-2</v>
      </c>
      <c r="M75" s="166"/>
      <c r="N75" s="166"/>
      <c r="O75" s="166">
        <f t="shared" si="22"/>
        <v>7.4373333333333347E-2</v>
      </c>
      <c r="P75" s="166"/>
      <c r="Q75" s="35"/>
      <c r="R75" s="167">
        <f t="shared" si="18"/>
        <v>2.7833333333333349E-2</v>
      </c>
    </row>
    <row r="76" spans="1:18">
      <c r="A76" s="36"/>
      <c r="B76" s="36"/>
      <c r="C76" s="166"/>
      <c r="D76" s="166"/>
      <c r="E76" s="166"/>
      <c r="F76" s="166">
        <f t="shared" si="19"/>
        <v>5.6666666666668752E-4</v>
      </c>
      <c r="G76" s="166"/>
      <c r="H76" s="166"/>
      <c r="I76" s="166">
        <f t="shared" si="20"/>
        <v>2.8200000000000058E-2</v>
      </c>
      <c r="J76" s="166"/>
      <c r="K76" s="166"/>
      <c r="L76" s="166">
        <f t="shared" si="21"/>
        <v>3.2766666666666777E-2</v>
      </c>
      <c r="M76" s="166"/>
      <c r="N76" s="166"/>
      <c r="O76" s="166">
        <f t="shared" si="22"/>
        <v>0.25513333333333327</v>
      </c>
      <c r="P76" s="166"/>
      <c r="Q76" s="35"/>
      <c r="R76" s="167">
        <f t="shared" si="18"/>
        <v>2.030000000000004E-2</v>
      </c>
    </row>
    <row r="77" spans="1:18">
      <c r="A77" s="36"/>
      <c r="B77" s="36"/>
      <c r="C77" s="166"/>
      <c r="D77" s="166"/>
      <c r="E77" s="166"/>
      <c r="F77" s="166">
        <f t="shared" si="19"/>
        <v>2.4199999999999999E-2</v>
      </c>
      <c r="G77" s="166"/>
      <c r="H77" s="166"/>
      <c r="I77" s="166">
        <f t="shared" si="20"/>
        <v>4.3633333333333302E-2</v>
      </c>
      <c r="J77" s="166"/>
      <c r="K77" s="166"/>
      <c r="L77" s="166">
        <f t="shared" si="21"/>
        <v>3.1109999999999915E-2</v>
      </c>
      <c r="M77" s="166"/>
      <c r="N77" s="166"/>
      <c r="O77" s="166">
        <f t="shared" si="22"/>
        <v>4.6433333333333271E-2</v>
      </c>
      <c r="P77" s="166"/>
      <c r="Q77" s="35"/>
      <c r="R77" s="167">
        <f t="shared" si="18"/>
        <v>2.7999999999999414E-3</v>
      </c>
    </row>
    <row r="78" spans="1:18">
      <c r="A78" s="36"/>
      <c r="B78" s="36"/>
      <c r="C78" s="166"/>
      <c r="D78" s="166"/>
      <c r="E78" s="166"/>
      <c r="F78" s="166">
        <f t="shared" si="19"/>
        <v>2.8666666666666424E-3</v>
      </c>
      <c r="G78" s="166"/>
      <c r="H78" s="166"/>
      <c r="I78" s="166">
        <f t="shared" si="20"/>
        <v>4.4599999999999945E-2</v>
      </c>
      <c r="J78" s="166"/>
      <c r="K78" s="166"/>
      <c r="L78" s="166">
        <f t="shared" si="21"/>
        <v>3.8666666666666766E-2</v>
      </c>
      <c r="M78" s="166"/>
      <c r="N78" s="166"/>
      <c r="O78" s="166">
        <f t="shared" si="22"/>
        <v>0.23040666666666657</v>
      </c>
      <c r="P78" s="166"/>
      <c r="Q78" s="35"/>
      <c r="R78" s="167">
        <f t="shared" si="18"/>
        <v>2.3866666666666647E-2</v>
      </c>
    </row>
    <row r="79" spans="1:18">
      <c r="A79" s="36"/>
      <c r="B79" s="36"/>
      <c r="C79" s="166"/>
      <c r="D79" s="166"/>
      <c r="E79" s="166"/>
      <c r="F79" s="166">
        <f t="shared" si="19"/>
        <v>2.9733333333333334E-2</v>
      </c>
      <c r="G79" s="166"/>
      <c r="H79" s="166"/>
      <c r="I79" s="166">
        <f t="shared" si="20"/>
        <v>5.2203333333333379E-2</v>
      </c>
      <c r="J79" s="166"/>
      <c r="K79" s="166"/>
      <c r="L79" s="166">
        <f t="shared" si="21"/>
        <v>2.796666666666664E-2</v>
      </c>
      <c r="M79" s="166"/>
      <c r="N79" s="166"/>
      <c r="O79" s="166">
        <f t="shared" si="22"/>
        <v>0.34155666666666668</v>
      </c>
      <c r="P79" s="166"/>
      <c r="Q79" s="35"/>
      <c r="R79" s="167">
        <f t="shared" si="18"/>
        <v>5.3433333333333333E-2</v>
      </c>
    </row>
    <row r="80" spans="1:18">
      <c r="A80" s="36"/>
      <c r="B80" s="36"/>
      <c r="C80" s="166"/>
      <c r="D80" s="166"/>
      <c r="E80" s="166"/>
      <c r="F80" s="166">
        <f t="shared" si="19"/>
        <v>4.9666666666666609E-3</v>
      </c>
      <c r="G80" s="166"/>
      <c r="H80" s="166"/>
      <c r="I80" s="166">
        <f t="shared" si="20"/>
        <v>1.7436666666666656E-2</v>
      </c>
      <c r="J80" s="166"/>
      <c r="K80" s="166"/>
      <c r="L80" s="166">
        <f t="shared" si="21"/>
        <v>3.4863333333333135E-2</v>
      </c>
      <c r="M80" s="166"/>
      <c r="N80" s="166"/>
      <c r="O80" s="166">
        <f t="shared" si="22"/>
        <v>0.13968833333333319</v>
      </c>
      <c r="P80" s="166"/>
      <c r="Q80" s="35"/>
      <c r="R80" s="167">
        <f t="shared" si="18"/>
        <v>4.0370000000000017E-2</v>
      </c>
    </row>
    <row r="81" spans="1:18">
      <c r="A81" s="36"/>
      <c r="B81" s="36"/>
      <c r="C81" s="166"/>
      <c r="D81" s="166"/>
      <c r="E81" s="166"/>
      <c r="F81" s="166">
        <f t="shared" si="19"/>
        <v>5.4636666666666611E-2</v>
      </c>
      <c r="G81" s="166"/>
      <c r="H81" s="166"/>
      <c r="I81" s="166">
        <f t="shared" si="20"/>
        <v>0.10864333333333329</v>
      </c>
      <c r="J81" s="166"/>
      <c r="K81" s="166"/>
      <c r="L81" s="166">
        <f t="shared" si="21"/>
        <v>0.1984666666666666</v>
      </c>
      <c r="M81" s="166"/>
      <c r="N81" s="166"/>
      <c r="O81" s="166">
        <f t="shared" si="22"/>
        <v>0.31892666666666669</v>
      </c>
      <c r="P81" s="166"/>
      <c r="Q81" s="35"/>
      <c r="R81" s="167">
        <f t="shared" si="18"/>
        <v>4.9999999999999961E-2</v>
      </c>
    </row>
    <row r="82" spans="1:18">
      <c r="A82" s="36"/>
      <c r="B82" s="36"/>
      <c r="C82" s="166"/>
      <c r="D82" s="166"/>
      <c r="E82" s="166"/>
      <c r="F82" s="166"/>
      <c r="G82" s="166"/>
      <c r="H82" s="166"/>
      <c r="I82" s="166"/>
      <c r="J82" s="166"/>
      <c r="K82" s="166"/>
      <c r="L82" s="166"/>
      <c r="M82" s="166"/>
      <c r="N82" s="166"/>
      <c r="O82" s="166"/>
      <c r="P82" s="166"/>
      <c r="Q82" s="35"/>
      <c r="R82" s="35"/>
    </row>
    <row r="83" spans="1:18">
      <c r="A83" s="36"/>
      <c r="B83" s="36"/>
      <c r="C83" s="166"/>
      <c r="D83" s="166"/>
      <c r="E83" s="166"/>
      <c r="F83" s="166"/>
      <c r="G83" s="166"/>
      <c r="H83" s="166"/>
      <c r="I83" s="166"/>
      <c r="J83" s="166"/>
      <c r="K83" s="166"/>
      <c r="L83" s="166"/>
      <c r="M83" s="166"/>
      <c r="N83" s="166"/>
      <c r="O83" s="166"/>
      <c r="P83" s="166"/>
      <c r="Q83" s="35"/>
      <c r="R83" s="35"/>
    </row>
    <row r="84" spans="1:18">
      <c r="A84" s="36"/>
      <c r="B84" s="36"/>
      <c r="C84" s="166"/>
      <c r="D84" s="166"/>
      <c r="E84" s="166"/>
      <c r="F84" s="166"/>
      <c r="G84" s="166"/>
      <c r="H84" s="166"/>
      <c r="I84" s="166"/>
      <c r="J84" s="166"/>
      <c r="K84" s="166"/>
      <c r="L84" s="166"/>
      <c r="M84" s="166"/>
      <c r="N84" s="166"/>
      <c r="O84" s="166"/>
      <c r="P84" s="166"/>
      <c r="Q84" s="35"/>
      <c r="R84" s="35"/>
    </row>
    <row r="85" spans="1:18">
      <c r="A85" s="36"/>
      <c r="B85" s="36" t="s">
        <v>126</v>
      </c>
      <c r="C85" s="166"/>
      <c r="D85" s="166"/>
      <c r="E85" s="166"/>
      <c r="F85" s="166"/>
      <c r="G85" s="166"/>
      <c r="H85" s="166"/>
      <c r="I85" s="166"/>
      <c r="J85" s="166"/>
      <c r="K85" s="166"/>
      <c r="L85" s="166"/>
      <c r="M85" s="166"/>
      <c r="N85" s="166"/>
      <c r="O85" s="166"/>
      <c r="P85" s="166"/>
      <c r="Q85" s="35"/>
      <c r="R85" s="35"/>
    </row>
    <row r="86" spans="1:18">
      <c r="A86" s="36"/>
      <c r="B86" s="36">
        <f>6.22*0.5</f>
        <v>3.11</v>
      </c>
      <c r="C86" s="166"/>
      <c r="D86" s="166"/>
      <c r="E86" s="166"/>
      <c r="F86" s="166">
        <f>F72/B86</f>
        <v>1.191854233654875E-2</v>
      </c>
      <c r="G86" s="166"/>
      <c r="H86" s="166"/>
      <c r="I86" s="166">
        <f>I72/B86</f>
        <v>5.5316184351554103E-2</v>
      </c>
      <c r="J86" s="166"/>
      <c r="K86" s="166"/>
      <c r="L86" s="166">
        <f>L72/B86</f>
        <v>0.1002465166130761</v>
      </c>
      <c r="M86" s="166"/>
      <c r="N86" s="166"/>
      <c r="O86" s="166">
        <f>O72/B86</f>
        <v>5.5584137191854247E-2</v>
      </c>
      <c r="P86" s="166"/>
      <c r="Q86" s="35"/>
      <c r="R86" s="35">
        <f>R72/B86</f>
        <v>8.8092175777063197E-3</v>
      </c>
    </row>
    <row r="87" spans="1:18">
      <c r="A87" s="36"/>
      <c r="B87" s="36"/>
      <c r="C87" s="166"/>
      <c r="D87" s="166"/>
      <c r="E87" s="166"/>
      <c r="F87" s="166">
        <f>F73/B86</f>
        <v>1.3669882100750264E-2</v>
      </c>
      <c r="G87" s="166"/>
      <c r="H87" s="166"/>
      <c r="I87" s="166">
        <f>I73/B86</f>
        <v>9.2004287245444783E-3</v>
      </c>
      <c r="J87" s="166"/>
      <c r="K87" s="166"/>
      <c r="L87" s="166">
        <f>L73/B86</f>
        <v>4.7581993569131835E-2</v>
      </c>
      <c r="M87" s="166"/>
      <c r="N87" s="166"/>
      <c r="O87" s="166">
        <f>O73/B86</f>
        <v>7.6060021436227226E-2</v>
      </c>
      <c r="P87" s="166"/>
      <c r="Q87" s="35"/>
      <c r="R87" s="35">
        <f>R73/B86</f>
        <v>8.9967845659164013E-3</v>
      </c>
    </row>
    <row r="88" spans="1:18">
      <c r="A88" s="36"/>
      <c r="B88" s="36"/>
      <c r="C88" s="166"/>
      <c r="D88" s="166"/>
      <c r="E88" s="166"/>
      <c r="F88" s="167">
        <f>F74/B86</f>
        <v>9.2711682743836961E-3</v>
      </c>
      <c r="G88" s="166"/>
      <c r="H88" s="166"/>
      <c r="I88" s="166">
        <f>I74/B86</f>
        <v>7.5026795284029958E-3</v>
      </c>
      <c r="J88" s="166"/>
      <c r="K88" s="166"/>
      <c r="L88" s="166">
        <f>L74/B86</f>
        <v>3.8733118971061034E-2</v>
      </c>
      <c r="M88" s="166"/>
      <c r="N88" s="166"/>
      <c r="O88" s="166">
        <f>O74/B86</f>
        <v>3.7824222936763081E-2</v>
      </c>
      <c r="P88" s="166"/>
      <c r="Q88" s="35"/>
      <c r="R88" s="35">
        <f>R74/B86</f>
        <v>7.5616291532690219E-3</v>
      </c>
    </row>
    <row r="89" spans="1:18">
      <c r="A89" s="36"/>
      <c r="B89" s="36"/>
      <c r="C89" s="166"/>
      <c r="D89" s="166"/>
      <c r="E89" s="166"/>
      <c r="F89" s="166">
        <f>F75/B86</f>
        <v>1.4587352625937845E-2</v>
      </c>
      <c r="G89" s="166"/>
      <c r="H89" s="166"/>
      <c r="I89" s="166">
        <f>I75/B86</f>
        <v>6.5412647374062161E-2</v>
      </c>
      <c r="J89" s="166"/>
      <c r="K89" s="166"/>
      <c r="L89" s="166">
        <f>L75/B86</f>
        <v>4.7374062165058909E-3</v>
      </c>
      <c r="M89" s="166"/>
      <c r="N89" s="166"/>
      <c r="O89" s="166">
        <f>O75/B86</f>
        <v>2.391425509110397E-2</v>
      </c>
      <c r="P89" s="166"/>
      <c r="Q89" s="35"/>
      <c r="R89" s="35">
        <f>R75/B86</f>
        <v>8.949624866023586E-3</v>
      </c>
    </row>
    <row r="90" spans="1:18">
      <c r="A90" s="36"/>
      <c r="B90" s="36"/>
      <c r="C90" s="166"/>
      <c r="D90" s="166"/>
      <c r="E90" s="166"/>
      <c r="F90" s="166">
        <f>F76/B86</f>
        <v>1.8220793140407961E-4</v>
      </c>
      <c r="G90" s="166"/>
      <c r="H90" s="166"/>
      <c r="I90" s="166">
        <f>I76/B86</f>
        <v>9.0675241157556468E-3</v>
      </c>
      <c r="J90" s="166"/>
      <c r="K90" s="166"/>
      <c r="L90" s="166">
        <f>L76/B86</f>
        <v>1.053590568060025E-2</v>
      </c>
      <c r="M90" s="166"/>
      <c r="N90" s="166"/>
      <c r="O90" s="166">
        <f>O76/B86</f>
        <v>8.2036441586280803E-2</v>
      </c>
      <c r="P90" s="166"/>
      <c r="Q90" s="35"/>
      <c r="R90" s="35">
        <f>R76/B86</f>
        <v>6.5273311897106239E-3</v>
      </c>
    </row>
    <row r="91" spans="1:18">
      <c r="A91" s="36"/>
      <c r="B91" s="36"/>
      <c r="C91" s="166"/>
      <c r="D91" s="166"/>
      <c r="E91" s="166"/>
      <c r="F91" s="166">
        <f>F77/B86</f>
        <v>7.7813504823151126E-3</v>
      </c>
      <c r="G91" s="166"/>
      <c r="H91" s="166"/>
      <c r="I91" s="166">
        <f>I77/B86</f>
        <v>1.4030010718113602E-2</v>
      </c>
      <c r="J91" s="166"/>
      <c r="K91" s="166"/>
      <c r="L91" s="166">
        <f>L77/B86</f>
        <v>1.0003215434083574E-2</v>
      </c>
      <c r="M91" s="166"/>
      <c r="N91" s="166"/>
      <c r="O91" s="166">
        <f>O77/B86</f>
        <v>1.4930332261521953E-2</v>
      </c>
      <c r="P91" s="166"/>
      <c r="Q91" s="35"/>
      <c r="R91" s="35">
        <f>R77/B86</f>
        <v>9.0032154340834137E-4</v>
      </c>
    </row>
    <row r="92" spans="1:18">
      <c r="A92" s="36"/>
      <c r="B92" s="36"/>
      <c r="C92" s="166"/>
      <c r="D92" s="166"/>
      <c r="E92" s="166"/>
      <c r="F92" s="166">
        <f>F78/B86</f>
        <v>9.2175777063236092E-4</v>
      </c>
      <c r="G92" s="166"/>
      <c r="H92" s="166"/>
      <c r="I92" s="166">
        <f>I78/B86</f>
        <v>1.434083601286172E-2</v>
      </c>
      <c r="J92" s="166"/>
      <c r="K92" s="166"/>
      <c r="L92" s="166">
        <f>L78/B86</f>
        <v>1.2433011789925006E-2</v>
      </c>
      <c r="M92" s="166"/>
      <c r="N92" s="166"/>
      <c r="O92" s="166">
        <f>O78/B86</f>
        <v>7.4085744908896009E-2</v>
      </c>
      <c r="P92" s="166"/>
      <c r="Q92" s="35"/>
      <c r="R92" s="35">
        <f>R78/B86</f>
        <v>7.6741693461950637E-3</v>
      </c>
    </row>
    <row r="93" spans="1:18">
      <c r="A93" s="36"/>
      <c r="B93" s="36"/>
      <c r="C93" s="166"/>
      <c r="D93" s="166"/>
      <c r="E93" s="166"/>
      <c r="F93" s="166">
        <f>F79/B86</f>
        <v>9.560557341907824E-3</v>
      </c>
      <c r="G93" s="166"/>
      <c r="H93" s="166"/>
      <c r="I93" s="166">
        <f>I79/B86</f>
        <v>1.6785637727759931E-2</v>
      </c>
      <c r="J93" s="166"/>
      <c r="K93" s="166"/>
      <c r="L93" s="166">
        <f>L79/B86</f>
        <v>8.9924973204715888E-3</v>
      </c>
      <c r="M93" s="166"/>
      <c r="N93" s="166"/>
      <c r="O93" s="166">
        <f>O79/B86</f>
        <v>0.10982529474812434</v>
      </c>
      <c r="P93" s="166"/>
      <c r="Q93" s="35"/>
      <c r="R93" s="35">
        <f>R79/B86</f>
        <v>1.7181136120042875E-2</v>
      </c>
    </row>
    <row r="94" spans="1:18">
      <c r="A94" s="36"/>
      <c r="B94" s="36"/>
      <c r="C94" s="166"/>
      <c r="D94" s="166"/>
      <c r="E94" s="166"/>
      <c r="F94" s="166">
        <f>F80/B86</f>
        <v>1.5969989281886369E-3</v>
      </c>
      <c r="G94" s="166"/>
      <c r="H94" s="166"/>
      <c r="I94" s="166">
        <f>I80/B86</f>
        <v>5.6066452304394396E-3</v>
      </c>
      <c r="J94" s="166"/>
      <c r="K94" s="166"/>
      <c r="L94" s="166">
        <f>L80/B86</f>
        <v>1.121007502679522E-2</v>
      </c>
      <c r="M94" s="166"/>
      <c r="N94" s="166"/>
      <c r="O94" s="166">
        <f>O80/B86</f>
        <v>4.4915862808145725E-2</v>
      </c>
      <c r="P94" s="166"/>
      <c r="Q94" s="35"/>
      <c r="R94" s="35">
        <f>R80/B86</f>
        <v>1.2980707395498399E-2</v>
      </c>
    </row>
    <row r="95" spans="1:18">
      <c r="A95" s="36"/>
      <c r="B95" s="36"/>
      <c r="C95" s="166"/>
      <c r="D95" s="166"/>
      <c r="E95" s="166"/>
      <c r="F95" s="166">
        <f>F81/B86</f>
        <v>1.756806002143621E-2</v>
      </c>
      <c r="G95" s="166"/>
      <c r="H95" s="166"/>
      <c r="I95" s="166">
        <f>I81/B86</f>
        <v>3.4933547695605562E-2</v>
      </c>
      <c r="J95" s="166"/>
      <c r="K95" s="166"/>
      <c r="L95" s="166">
        <f>L81/B86</f>
        <v>6.3815648445873507E-2</v>
      </c>
      <c r="M95" s="166"/>
      <c r="N95" s="166"/>
      <c r="O95" s="166">
        <f>O81/B86</f>
        <v>0.10254876741693462</v>
      </c>
      <c r="P95" s="166"/>
      <c r="Q95" s="35"/>
      <c r="R95" s="35">
        <f>R81/B86</f>
        <v>1.6077170418006419E-2</v>
      </c>
    </row>
    <row r="96" spans="1:18">
      <c r="A96" s="36"/>
      <c r="B96" s="36"/>
      <c r="C96" s="166"/>
      <c r="D96" s="166"/>
      <c r="E96" s="166"/>
      <c r="F96" s="166"/>
      <c r="G96" s="166"/>
      <c r="H96" s="166"/>
      <c r="I96" s="166"/>
      <c r="J96" s="166"/>
      <c r="K96" s="166"/>
      <c r="L96" s="166"/>
      <c r="M96" s="166"/>
      <c r="N96" s="166"/>
      <c r="O96" s="166"/>
      <c r="P96" s="166"/>
      <c r="Q96" s="35"/>
      <c r="R96" s="35"/>
    </row>
    <row r="97" spans="1:18">
      <c r="A97" s="36"/>
      <c r="B97" s="36" t="s">
        <v>127</v>
      </c>
      <c r="C97" s="166"/>
      <c r="D97" s="166"/>
      <c r="E97" s="166"/>
      <c r="F97" s="166"/>
      <c r="G97" s="166"/>
      <c r="H97" s="166"/>
      <c r="I97" s="166"/>
      <c r="J97" s="166"/>
      <c r="K97" s="166"/>
      <c r="L97" s="166"/>
      <c r="M97" s="166"/>
      <c r="N97" s="166"/>
      <c r="O97" s="166"/>
      <c r="P97" s="166"/>
      <c r="Q97" s="35"/>
      <c r="R97" s="35"/>
    </row>
    <row r="98" spans="1:18">
      <c r="A98" s="36"/>
      <c r="B98" s="36"/>
      <c r="C98" s="166"/>
      <c r="D98" s="166"/>
      <c r="E98" s="166"/>
      <c r="F98" s="166">
        <f>F86*B101</f>
        <v>1.7877813504823125E-5</v>
      </c>
      <c r="G98" s="166"/>
      <c r="H98" s="166"/>
      <c r="I98" s="166">
        <f>I86*B101</f>
        <v>8.2974276527331153E-5</v>
      </c>
      <c r="J98" s="166"/>
      <c r="K98" s="166"/>
      <c r="L98" s="166">
        <f>L86*B101</f>
        <v>1.5036977491961415E-4</v>
      </c>
      <c r="M98" s="166"/>
      <c r="N98" s="166"/>
      <c r="O98" s="166">
        <f>O86*B101</f>
        <v>8.337620578778137E-5</v>
      </c>
      <c r="P98" s="166"/>
      <c r="Q98" s="35"/>
      <c r="R98" s="35">
        <f t="shared" ref="R98:R110" si="23">R86*B101</f>
        <v>1.3213826366559479E-5</v>
      </c>
    </row>
    <row r="99" spans="1:18">
      <c r="A99" s="36"/>
      <c r="B99" s="36">
        <f>1.5/0.05</f>
        <v>30</v>
      </c>
      <c r="C99" s="166"/>
      <c r="D99" s="166"/>
      <c r="E99" s="166"/>
      <c r="F99" s="166">
        <f>F87*B101</f>
        <v>2.0504823151125396E-5</v>
      </c>
      <c r="G99" s="166"/>
      <c r="H99" s="166"/>
      <c r="I99" s="166">
        <f>I87*B101</f>
        <v>1.3800643086816717E-5</v>
      </c>
      <c r="J99" s="166"/>
      <c r="K99" s="166"/>
      <c r="L99" s="166">
        <f>L87*B101</f>
        <v>7.1372990353697752E-5</v>
      </c>
      <c r="M99" s="166"/>
      <c r="N99" s="166"/>
      <c r="O99" s="166">
        <f>O87*B101</f>
        <v>1.1409003215434084E-4</v>
      </c>
      <c r="P99" s="166"/>
      <c r="Q99" s="35"/>
      <c r="R99" s="35">
        <f t="shared" si="23"/>
        <v>0</v>
      </c>
    </row>
    <row r="100" spans="1:18">
      <c r="A100" s="36"/>
      <c r="B100" s="36">
        <f>20*1000</f>
        <v>20000</v>
      </c>
      <c r="C100" s="166"/>
      <c r="D100" s="166"/>
      <c r="E100" s="166"/>
      <c r="F100" s="166">
        <f>F88*B101</f>
        <v>1.3906752411575544E-5</v>
      </c>
      <c r="G100" s="166"/>
      <c r="H100" s="166"/>
      <c r="I100" s="166">
        <f>I88*B101</f>
        <v>1.1254019292604494E-5</v>
      </c>
      <c r="J100" s="166"/>
      <c r="K100" s="166"/>
      <c r="L100" s="166">
        <f>L88*B101</f>
        <v>5.8099678456591554E-5</v>
      </c>
      <c r="M100" s="166"/>
      <c r="N100" s="166"/>
      <c r="O100" s="166">
        <f>O88*B101</f>
        <v>5.6736334405144621E-5</v>
      </c>
      <c r="P100" s="166"/>
      <c r="Q100" s="35"/>
      <c r="R100" s="35">
        <f t="shared" si="23"/>
        <v>0</v>
      </c>
    </row>
    <row r="101" spans="1:18">
      <c r="A101" s="36"/>
      <c r="B101" s="36">
        <f>B99/B100</f>
        <v>1.5E-3</v>
      </c>
      <c r="C101" s="166"/>
      <c r="D101" s="166"/>
      <c r="E101" s="166"/>
      <c r="F101" s="166">
        <f>F89*B101</f>
        <v>2.1881028938906768E-5</v>
      </c>
      <c r="G101" s="166"/>
      <c r="H101" s="166"/>
      <c r="I101" s="166">
        <f>I89*B101</f>
        <v>9.8118971061093242E-5</v>
      </c>
      <c r="J101" s="166"/>
      <c r="K101" s="166"/>
      <c r="L101" s="166">
        <f>L89*B101</f>
        <v>7.1061093247588365E-6</v>
      </c>
      <c r="M101" s="166"/>
      <c r="N101" s="166"/>
      <c r="O101" s="166">
        <f>O89*B101</f>
        <v>3.5871382636655958E-5</v>
      </c>
      <c r="P101" s="166"/>
      <c r="Q101" s="35"/>
      <c r="R101" s="35">
        <f t="shared" si="23"/>
        <v>0</v>
      </c>
    </row>
    <row r="102" spans="1:18">
      <c r="A102" s="36"/>
      <c r="B102" s="36"/>
      <c r="C102" s="36"/>
      <c r="D102" s="36"/>
      <c r="E102" s="36"/>
      <c r="F102" s="36">
        <f>F90*B101</f>
        <v>2.7331189710611941E-7</v>
      </c>
      <c r="G102" s="36"/>
      <c r="H102" s="36"/>
      <c r="I102" s="36">
        <f>I90*B101</f>
        <v>1.360128617363347E-5</v>
      </c>
      <c r="J102" s="36"/>
      <c r="K102" s="36"/>
      <c r="L102" s="36">
        <f>L90*B101</f>
        <v>1.5803858520900375E-5</v>
      </c>
      <c r="M102" s="36"/>
      <c r="N102" s="36"/>
      <c r="O102" s="36">
        <f>O90*B101</f>
        <v>1.2305466237942121E-4</v>
      </c>
      <c r="P102" s="36"/>
      <c r="R102">
        <f t="shared" si="23"/>
        <v>9.7909967845659363E-3</v>
      </c>
    </row>
    <row r="103" spans="1:18">
      <c r="A103" s="36"/>
      <c r="B103" s="36"/>
      <c r="C103" s="36"/>
      <c r="D103" s="36"/>
      <c r="E103" s="36"/>
      <c r="F103" s="36">
        <f>F91*B101</f>
        <v>1.1672025723472669E-5</v>
      </c>
      <c r="G103" s="36"/>
      <c r="H103" s="36"/>
      <c r="I103" s="36">
        <f>I91*B101</f>
        <v>2.1045016077170403E-5</v>
      </c>
      <c r="J103" s="36"/>
      <c r="K103" s="36"/>
      <c r="L103" s="36">
        <f>L91*B101</f>
        <v>1.5004823151125361E-5</v>
      </c>
      <c r="M103" s="36"/>
      <c r="N103" s="36"/>
      <c r="O103" s="36">
        <f>O91*B101</f>
        <v>2.239549839228293E-5</v>
      </c>
      <c r="P103" s="36"/>
      <c r="R103">
        <f t="shared" si="23"/>
        <v>1.350482315112512</v>
      </c>
    </row>
    <row r="104" spans="1:18">
      <c r="A104" s="36"/>
      <c r="B104" s="36"/>
      <c r="C104" s="36"/>
      <c r="D104" s="36"/>
      <c r="E104" s="36"/>
      <c r="F104" s="36">
        <f>F92*B101</f>
        <v>1.3826366559485414E-6</v>
      </c>
      <c r="G104" s="36"/>
      <c r="H104" s="36"/>
      <c r="I104" s="36">
        <f>I92*B101</f>
        <v>2.1511254019292581E-5</v>
      </c>
      <c r="J104" s="36"/>
      <c r="K104" s="36"/>
      <c r="L104" s="36">
        <f>L92*B101</f>
        <v>1.8649517684887509E-5</v>
      </c>
      <c r="M104" s="36"/>
      <c r="N104" s="36"/>
      <c r="O104" s="36">
        <f>O92*B101</f>
        <v>1.1112861736334401E-4</v>
      </c>
      <c r="P104" s="36"/>
      <c r="R104">
        <f t="shared" si="23"/>
        <v>0</v>
      </c>
    </row>
    <row r="105" spans="1:18">
      <c r="A105" s="36"/>
      <c r="B105" s="36">
        <f>B99/20</f>
        <v>1.5</v>
      </c>
      <c r="C105" s="36"/>
      <c r="D105" s="36"/>
      <c r="E105" s="36"/>
      <c r="F105" s="36">
        <f>F93*B101</f>
        <v>1.4340836012861736E-5</v>
      </c>
      <c r="G105" s="36"/>
      <c r="H105" s="36"/>
      <c r="I105" s="36">
        <f>I93*B101</f>
        <v>2.5178456591639899E-5</v>
      </c>
      <c r="J105" s="36"/>
      <c r="K105" s="36"/>
      <c r="L105" s="36">
        <f>L93*B101</f>
        <v>1.3488745980707384E-5</v>
      </c>
      <c r="M105" s="36"/>
      <c r="N105" s="36"/>
      <c r="O105" s="36">
        <f>O93*B101</f>
        <v>1.6473794212218653E-4</v>
      </c>
      <c r="P105" s="36"/>
      <c r="R105">
        <f t="shared" si="23"/>
        <v>0</v>
      </c>
    </row>
    <row r="106" spans="1:18">
      <c r="A106" s="36"/>
      <c r="B106" s="36">
        <f>B105*1000</f>
        <v>1500</v>
      </c>
      <c r="C106" s="36"/>
      <c r="D106" s="36"/>
      <c r="E106" s="36"/>
      <c r="F106" s="36">
        <f>F94*B101</f>
        <v>2.3954983922829555E-6</v>
      </c>
      <c r="G106" s="36"/>
      <c r="H106" s="36"/>
      <c r="I106" s="36">
        <f>I94*B101</f>
        <v>8.4099678456591603E-6</v>
      </c>
      <c r="J106" s="36"/>
      <c r="K106" s="36"/>
      <c r="L106" s="36">
        <f>L94*B101</f>
        <v>1.681511254019283E-5</v>
      </c>
      <c r="M106" s="36"/>
      <c r="N106" s="36"/>
      <c r="O106" s="36">
        <f>O94*B101</f>
        <v>6.7373794212218595E-5</v>
      </c>
      <c r="P106" s="36"/>
      <c r="R106">
        <f t="shared" si="23"/>
        <v>0</v>
      </c>
    </row>
    <row r="107" spans="1:18">
      <c r="A107" s="36"/>
      <c r="B107" s="36"/>
      <c r="C107" s="36"/>
      <c r="D107" s="36"/>
      <c r="E107" s="36"/>
      <c r="F107" s="36">
        <f>F95*B101</f>
        <v>2.6352090032154317E-5</v>
      </c>
      <c r="G107" s="36"/>
      <c r="H107" s="36"/>
      <c r="I107" s="36">
        <f>I95*B101</f>
        <v>5.240032154340834E-5</v>
      </c>
      <c r="J107" s="36"/>
      <c r="K107" s="36"/>
      <c r="L107" s="36">
        <f>L95*B101</f>
        <v>9.5723472668810265E-5</v>
      </c>
      <c r="M107" s="36"/>
      <c r="N107" s="36"/>
      <c r="O107" s="36">
        <f>O95*B101</f>
        <v>1.5382315112540194E-4</v>
      </c>
      <c r="P107" s="36"/>
      <c r="R107">
        <f t="shared" si="23"/>
        <v>0</v>
      </c>
    </row>
    <row r="108" spans="1:18">
      <c r="A108" s="36"/>
      <c r="B108" s="36"/>
      <c r="C108" s="36"/>
      <c r="D108" s="36"/>
      <c r="E108" s="36"/>
      <c r="F108" s="36">
        <f>F96*B101</f>
        <v>0</v>
      </c>
      <c r="G108" s="36"/>
      <c r="H108" s="36"/>
      <c r="I108" s="36">
        <f>I96*B101</f>
        <v>0</v>
      </c>
      <c r="J108" s="36"/>
      <c r="K108" s="36"/>
      <c r="L108" s="36">
        <f>L96*B101</f>
        <v>0</v>
      </c>
      <c r="M108" s="36"/>
      <c r="N108" s="36"/>
      <c r="O108" s="36">
        <f>O96*B101</f>
        <v>0</v>
      </c>
      <c r="P108" s="36"/>
      <c r="R108">
        <f t="shared" si="23"/>
        <v>0</v>
      </c>
    </row>
    <row r="109" spans="1:18">
      <c r="A109" s="36"/>
      <c r="B109" s="36"/>
      <c r="C109" s="36"/>
      <c r="D109" s="36"/>
      <c r="E109" s="36"/>
      <c r="F109" s="36">
        <f>F97*B101</f>
        <v>0</v>
      </c>
      <c r="G109" s="36"/>
      <c r="H109" s="36"/>
      <c r="I109" s="36">
        <f>I97*B101</f>
        <v>0</v>
      </c>
      <c r="J109" s="36"/>
      <c r="K109" s="36"/>
      <c r="L109" s="36">
        <f>L97*B101</f>
        <v>0</v>
      </c>
      <c r="M109" s="36"/>
      <c r="N109" s="36"/>
      <c r="O109" s="36">
        <f>O97*B101</f>
        <v>0</v>
      </c>
      <c r="P109" s="36"/>
      <c r="R109">
        <f t="shared" si="23"/>
        <v>0</v>
      </c>
    </row>
    <row r="110" spans="1:18">
      <c r="A110" s="36"/>
      <c r="B110" s="36"/>
      <c r="C110" s="36"/>
      <c r="D110" s="36"/>
      <c r="E110" s="36"/>
      <c r="F110" s="36">
        <f>F98*B101</f>
        <v>2.6816720257234686E-8</v>
      </c>
      <c r="G110" s="36"/>
      <c r="H110" s="36"/>
      <c r="I110" s="36">
        <f>I98*B101</f>
        <v>1.2446141479099673E-7</v>
      </c>
      <c r="J110" s="36"/>
      <c r="K110" s="36"/>
      <c r="L110" s="36">
        <f>L98*B101</f>
        <v>2.2555466237942124E-7</v>
      </c>
      <c r="M110" s="36"/>
      <c r="N110" s="36"/>
      <c r="O110" s="36">
        <f>O98*B101</f>
        <v>1.2506430868167204E-7</v>
      </c>
      <c r="P110" s="36"/>
      <c r="R110">
        <f t="shared" si="23"/>
        <v>0</v>
      </c>
    </row>
    <row r="111" spans="1:18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</row>
    <row r="112" spans="1:18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</row>
    <row r="113" spans="1:18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</row>
    <row r="114" spans="1:18">
      <c r="A114" s="36"/>
      <c r="B114" s="124" t="s">
        <v>128</v>
      </c>
      <c r="C114" s="124"/>
      <c r="D114" s="124"/>
      <c r="E114" s="124"/>
      <c r="F114" s="124">
        <v>17.877813504823123</v>
      </c>
      <c r="G114" s="124"/>
      <c r="H114" s="124"/>
      <c r="I114" s="124">
        <v>82.974276527331156</v>
      </c>
      <c r="J114" s="124"/>
      <c r="K114" s="124"/>
      <c r="L114" s="124">
        <v>150.36977491961414</v>
      </c>
      <c r="M114" s="124"/>
      <c r="N114" s="124"/>
      <c r="O114" s="124">
        <v>83.376205787781373</v>
      </c>
      <c r="P114" s="124"/>
      <c r="Q114" s="124"/>
      <c r="R114" s="124">
        <v>13.213826366559479</v>
      </c>
    </row>
    <row r="115" spans="1:18">
      <c r="A115" s="36"/>
      <c r="B115" s="124"/>
      <c r="C115" s="124"/>
      <c r="D115" s="124"/>
      <c r="E115" s="124"/>
      <c r="F115" s="124">
        <v>20.504823151125397</v>
      </c>
      <c r="G115" s="124"/>
      <c r="H115" s="124"/>
      <c r="I115" s="124">
        <v>13.800643086816718</v>
      </c>
      <c r="J115" s="124"/>
      <c r="K115" s="124"/>
      <c r="L115" s="124">
        <v>71.372990353697759</v>
      </c>
      <c r="M115" s="124"/>
      <c r="N115" s="124"/>
      <c r="O115" s="124">
        <v>114.09003215434085</v>
      </c>
      <c r="P115" s="124"/>
      <c r="Q115" s="124"/>
      <c r="R115" s="124">
        <v>13.495176848874602</v>
      </c>
    </row>
    <row r="116" spans="1:18">
      <c r="A116" s="36"/>
      <c r="B116" s="124">
        <v>30</v>
      </c>
      <c r="C116" s="124"/>
      <c r="D116" s="124"/>
      <c r="E116" s="124"/>
      <c r="F116" s="124">
        <v>13.906752411575544</v>
      </c>
      <c r="G116" s="124"/>
      <c r="H116" s="124"/>
      <c r="I116" s="124">
        <v>11.254019292604493</v>
      </c>
      <c r="J116" s="124"/>
      <c r="K116" s="124"/>
      <c r="L116" s="124">
        <v>58.099678456591548</v>
      </c>
      <c r="M116" s="124"/>
      <c r="N116" s="124"/>
      <c r="O116" s="124">
        <v>56.736334405144625</v>
      </c>
      <c r="P116" s="124"/>
      <c r="Q116" s="124"/>
      <c r="R116" s="124">
        <v>11.342443729903533</v>
      </c>
    </row>
    <row r="117" spans="1:18">
      <c r="A117" s="36"/>
      <c r="B117" s="124">
        <v>20000</v>
      </c>
      <c r="C117" s="124"/>
      <c r="D117" s="124"/>
      <c r="E117" s="124"/>
      <c r="F117" s="124">
        <v>21.881028938906766</v>
      </c>
      <c r="G117" s="124"/>
      <c r="H117" s="124"/>
      <c r="I117" s="124">
        <v>98.118971061093248</v>
      </c>
      <c r="J117" s="124"/>
      <c r="K117" s="124"/>
      <c r="L117" s="124">
        <v>7.1061093247588367</v>
      </c>
      <c r="M117" s="124"/>
      <c r="N117" s="124"/>
      <c r="O117" s="124">
        <v>35.871382636655959</v>
      </c>
      <c r="P117" s="124"/>
      <c r="Q117" s="124"/>
      <c r="R117" s="124">
        <v>13.424437299035379</v>
      </c>
    </row>
    <row r="118" spans="1:18">
      <c r="A118" s="36"/>
      <c r="B118" s="124">
        <v>1.5E-3</v>
      </c>
      <c r="C118" s="124"/>
      <c r="D118" s="124"/>
      <c r="E118" s="124"/>
      <c r="F118" s="124">
        <v>0.27331189710611942</v>
      </c>
      <c r="G118" s="124"/>
      <c r="H118" s="124"/>
      <c r="I118" s="124">
        <v>13.60128617363347</v>
      </c>
      <c r="J118" s="124"/>
      <c r="K118" s="124"/>
      <c r="L118" s="124">
        <v>15.803858520900375</v>
      </c>
      <c r="M118" s="124"/>
      <c r="N118" s="124"/>
      <c r="O118" s="124">
        <v>123.0546623794212</v>
      </c>
      <c r="P118" s="124"/>
      <c r="Q118" s="124"/>
      <c r="R118" s="124">
        <v>9.7909967845659356</v>
      </c>
    </row>
    <row r="119" spans="1:18">
      <c r="A119" s="36"/>
      <c r="B119" s="124"/>
      <c r="C119" s="124"/>
      <c r="D119" s="124"/>
      <c r="E119" s="124"/>
      <c r="F119" s="124">
        <v>11.672025723472668</v>
      </c>
      <c r="G119" s="124"/>
      <c r="H119" s="124"/>
      <c r="I119" s="124">
        <v>21.045016077170402</v>
      </c>
      <c r="J119" s="124"/>
      <c r="K119" s="124"/>
      <c r="L119" s="124">
        <v>15.004823151125361</v>
      </c>
      <c r="M119" s="124"/>
      <c r="N119" s="124"/>
      <c r="O119" s="124">
        <v>22.395498392282928</v>
      </c>
      <c r="P119" s="124"/>
      <c r="Q119" s="124"/>
      <c r="R119" s="124">
        <v>1.350482315112512</v>
      </c>
    </row>
    <row r="120" spans="1:18">
      <c r="A120" s="36"/>
      <c r="B120" s="124"/>
      <c r="C120" s="124"/>
      <c r="D120" s="124"/>
      <c r="E120" s="124"/>
      <c r="F120" s="124">
        <v>1.3826366559485415</v>
      </c>
      <c r="G120" s="124"/>
      <c r="H120" s="124"/>
      <c r="I120" s="124">
        <v>21.511254019292579</v>
      </c>
      <c r="J120" s="124"/>
      <c r="K120" s="124"/>
      <c r="L120" s="124">
        <v>18.64951768488751</v>
      </c>
      <c r="M120" s="124"/>
      <c r="N120" s="124"/>
      <c r="O120" s="124">
        <v>111.12861736334402</v>
      </c>
      <c r="P120" s="124"/>
      <c r="Q120" s="124"/>
      <c r="R120" s="124">
        <v>11.511254019292595</v>
      </c>
    </row>
    <row r="121" spans="1:18">
      <c r="A121" s="36"/>
      <c r="B121" s="124"/>
      <c r="C121" s="124"/>
      <c r="D121" s="124"/>
      <c r="E121" s="124"/>
      <c r="F121" s="124">
        <v>14.340836012861736</v>
      </c>
      <c r="G121" s="124"/>
      <c r="H121" s="124"/>
      <c r="I121" s="124">
        <v>25.178456591639897</v>
      </c>
      <c r="J121" s="124"/>
      <c r="K121" s="124"/>
      <c r="L121" s="124">
        <v>13.488745980707384</v>
      </c>
      <c r="M121" s="124"/>
      <c r="N121" s="124"/>
      <c r="O121" s="124">
        <v>164.73794212218652</v>
      </c>
      <c r="P121" s="124"/>
      <c r="Q121" s="124"/>
      <c r="R121" s="124">
        <v>25.771704180064312</v>
      </c>
    </row>
    <row r="122" spans="1:18">
      <c r="B122" s="124">
        <v>1.5</v>
      </c>
      <c r="C122" s="124"/>
      <c r="D122" s="124"/>
      <c r="E122" s="124"/>
      <c r="F122" s="124">
        <v>2.3954983922829554</v>
      </c>
      <c r="G122" s="124"/>
      <c r="H122" s="124"/>
      <c r="I122" s="124">
        <v>8.4099678456591587</v>
      </c>
      <c r="J122" s="124"/>
      <c r="K122" s="124"/>
      <c r="L122" s="124">
        <v>16.815112540192832</v>
      </c>
      <c r="M122" s="124"/>
      <c r="N122" s="124"/>
      <c r="O122" s="124">
        <v>67.373794212218584</v>
      </c>
      <c r="P122" s="124"/>
      <c r="Q122" s="124"/>
      <c r="R122" s="124">
        <v>19.471061093247599</v>
      </c>
    </row>
    <row r="123" spans="1:18">
      <c r="B123" s="124">
        <v>1500</v>
      </c>
      <c r="C123" s="124"/>
      <c r="D123" s="124"/>
      <c r="E123" s="124"/>
      <c r="F123" s="124">
        <v>26.352090032154315</v>
      </c>
      <c r="G123" s="124"/>
      <c r="H123" s="124"/>
      <c r="I123" s="124">
        <v>52.400321543408346</v>
      </c>
      <c r="J123" s="124"/>
      <c r="K123" s="124"/>
      <c r="L123" s="124">
        <v>95.72347266881026</v>
      </c>
      <c r="M123" s="124"/>
      <c r="N123" s="124"/>
      <c r="O123" s="124">
        <v>153.82315112540195</v>
      </c>
      <c r="P123" s="124"/>
      <c r="Q123" s="124"/>
      <c r="R123" s="124">
        <v>24.11575562700963</v>
      </c>
    </row>
    <row r="124" spans="1:18">
      <c r="B124" s="124"/>
      <c r="C124" s="124"/>
      <c r="D124" s="124"/>
      <c r="E124" s="124"/>
      <c r="F124" s="124"/>
      <c r="G124" s="124"/>
      <c r="H124" s="124"/>
      <c r="I124" s="124"/>
      <c r="J124" s="124"/>
      <c r="K124" s="124"/>
      <c r="L124" s="124"/>
      <c r="M124" s="124"/>
      <c r="N124" s="124"/>
      <c r="O124" s="124"/>
      <c r="P124" s="124"/>
      <c r="Q124" s="124"/>
      <c r="R124" s="124"/>
    </row>
    <row r="125" spans="1:18">
      <c r="B125" s="124"/>
      <c r="C125" s="124"/>
      <c r="D125" s="124"/>
      <c r="E125" s="124"/>
      <c r="F125" s="124"/>
      <c r="G125" s="124"/>
      <c r="H125" s="124"/>
      <c r="I125" s="124"/>
      <c r="J125" s="124"/>
      <c r="K125" s="124"/>
      <c r="L125" s="124"/>
      <c r="M125" s="124"/>
      <c r="N125" s="124"/>
      <c r="O125" s="124"/>
      <c r="P125" s="124"/>
      <c r="Q125" s="124"/>
      <c r="R125" s="124"/>
    </row>
    <row r="126" spans="1:18">
      <c r="B126" s="124"/>
      <c r="C126" s="124"/>
      <c r="D126" s="124"/>
      <c r="E126" s="124"/>
      <c r="F126" s="124">
        <v>13.058681672025719</v>
      </c>
      <c r="G126" s="124"/>
      <c r="H126" s="124"/>
      <c r="I126" s="124">
        <v>34.829421221864941</v>
      </c>
      <c r="J126" s="124"/>
      <c r="K126" s="124"/>
      <c r="L126" s="124">
        <v>46.243408360128598</v>
      </c>
      <c r="M126" s="124"/>
      <c r="N126" s="124"/>
      <c r="O126" s="124">
        <v>93.258762057877817</v>
      </c>
      <c r="P126" s="124"/>
      <c r="Q126" s="124"/>
      <c r="R126" s="124">
        <v>14.348713826366557</v>
      </c>
    </row>
    <row r="127" spans="1:18">
      <c r="B127" s="124"/>
      <c r="C127" s="124"/>
      <c r="D127" s="124"/>
      <c r="E127" s="124"/>
      <c r="F127" s="124"/>
      <c r="G127" s="124"/>
      <c r="H127" s="124"/>
      <c r="I127" s="124"/>
      <c r="J127" s="124"/>
      <c r="K127" s="124"/>
      <c r="L127" s="124"/>
      <c r="M127" s="124"/>
      <c r="N127" s="124"/>
      <c r="O127" s="124"/>
      <c r="P127" s="124"/>
      <c r="Q127" s="124"/>
      <c r="R127" s="124"/>
    </row>
    <row r="128" spans="1:18">
      <c r="F128" s="36"/>
    </row>
    <row r="129" spans="6:6">
      <c r="F129" s="3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65"/>
  <sheetViews>
    <sheetView zoomScale="73" zoomScaleNormal="73" workbookViewId="0"/>
  </sheetViews>
  <sheetFormatPr defaultRowHeight="15"/>
  <cols>
    <col min="1" max="1" width="25.42578125" style="8" customWidth="1"/>
    <col min="2" max="16384" width="9.140625" style="8"/>
  </cols>
  <sheetData>
    <row r="1" spans="1:39">
      <c r="A1" s="8" t="s">
        <v>768</v>
      </c>
    </row>
    <row r="2" spans="1:39">
      <c r="A2" s="8" t="s">
        <v>129</v>
      </c>
    </row>
    <row r="3" spans="1:39">
      <c r="A3" s="22" t="s">
        <v>130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</row>
    <row r="4" spans="1:39">
      <c r="A4" s="22" t="s">
        <v>131</v>
      </c>
      <c r="B4" s="173" t="s">
        <v>132</v>
      </c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/>
      <c r="T4" s="173"/>
      <c r="U4" s="173"/>
      <c r="V4" s="173"/>
      <c r="W4" s="173"/>
      <c r="X4" s="173"/>
      <c r="Y4" s="173"/>
      <c r="Z4" s="173"/>
      <c r="AA4" s="173"/>
      <c r="AB4" s="173"/>
      <c r="AC4" s="173"/>
      <c r="AD4" s="173"/>
      <c r="AE4" s="173"/>
      <c r="AF4" s="173"/>
      <c r="AG4" s="173"/>
      <c r="AH4" s="173"/>
      <c r="AI4" s="173"/>
      <c r="AJ4" s="173"/>
      <c r="AL4" s="22" t="s">
        <v>133</v>
      </c>
      <c r="AM4" s="22" t="s">
        <v>39</v>
      </c>
    </row>
    <row r="5" spans="1:39">
      <c r="A5" s="22" t="s">
        <v>134</v>
      </c>
      <c r="B5" s="22">
        <v>1</v>
      </c>
      <c r="C5" s="22">
        <v>2</v>
      </c>
      <c r="D5" s="22">
        <v>3</v>
      </c>
      <c r="E5" s="22">
        <v>4</v>
      </c>
      <c r="F5" s="22">
        <v>5</v>
      </c>
      <c r="G5" s="22">
        <v>6</v>
      </c>
      <c r="H5" s="22">
        <v>7</v>
      </c>
      <c r="I5" s="22">
        <v>8</v>
      </c>
      <c r="J5" s="22">
        <v>9</v>
      </c>
      <c r="K5" s="22">
        <v>10</v>
      </c>
      <c r="L5" s="22">
        <v>11</v>
      </c>
      <c r="M5" s="22">
        <v>12</v>
      </c>
      <c r="N5" s="22">
        <v>13</v>
      </c>
      <c r="O5" s="22">
        <v>14</v>
      </c>
      <c r="P5" s="22">
        <v>15</v>
      </c>
      <c r="Q5" s="22">
        <v>16</v>
      </c>
      <c r="R5" s="22">
        <v>17</v>
      </c>
      <c r="S5" s="22">
        <v>18</v>
      </c>
      <c r="T5" s="22">
        <v>19</v>
      </c>
      <c r="U5" s="22">
        <v>20</v>
      </c>
      <c r="V5" s="22">
        <v>21</v>
      </c>
      <c r="W5" s="22">
        <v>22</v>
      </c>
      <c r="X5" s="22">
        <v>23</v>
      </c>
      <c r="Y5" s="22">
        <v>24</v>
      </c>
      <c r="Z5" s="22">
        <v>25</v>
      </c>
      <c r="AA5" s="22">
        <v>26</v>
      </c>
      <c r="AB5" s="22">
        <v>27</v>
      </c>
      <c r="AC5" s="22">
        <v>28</v>
      </c>
      <c r="AD5" s="22">
        <v>29</v>
      </c>
      <c r="AE5" s="22">
        <v>30</v>
      </c>
      <c r="AF5" s="22">
        <v>31</v>
      </c>
      <c r="AG5" s="22">
        <v>32</v>
      </c>
      <c r="AH5" s="22">
        <v>33</v>
      </c>
      <c r="AI5" s="22">
        <v>34</v>
      </c>
      <c r="AJ5" s="22">
        <v>35</v>
      </c>
      <c r="AK5" s="22"/>
      <c r="AL5" s="22"/>
      <c r="AM5" s="22"/>
    </row>
    <row r="6" spans="1:39">
      <c r="A6" s="22">
        <v>1</v>
      </c>
      <c r="B6" s="8">
        <v>3.5</v>
      </c>
      <c r="C6" s="8">
        <v>2.6</v>
      </c>
      <c r="D6" s="8">
        <v>4.5999999999999996</v>
      </c>
      <c r="E6" s="8">
        <v>2.6</v>
      </c>
      <c r="F6" s="8">
        <v>3.7</v>
      </c>
      <c r="G6" s="8">
        <v>3.3</v>
      </c>
      <c r="H6" s="8">
        <v>3.1</v>
      </c>
      <c r="I6" s="8">
        <v>3.9</v>
      </c>
      <c r="J6" s="8">
        <v>2.5</v>
      </c>
      <c r="K6" s="8">
        <v>1.3</v>
      </c>
      <c r="L6" s="8">
        <v>2.2000000000000002</v>
      </c>
      <c r="M6" s="8">
        <v>0.8</v>
      </c>
      <c r="N6" s="8">
        <v>0.7</v>
      </c>
      <c r="O6" s="8">
        <v>5.4</v>
      </c>
      <c r="P6" s="8">
        <v>0</v>
      </c>
      <c r="Q6" s="8">
        <v>3.5</v>
      </c>
      <c r="R6" s="8">
        <v>3.6</v>
      </c>
      <c r="S6" s="8">
        <v>2.2000000000000002</v>
      </c>
      <c r="T6" s="8">
        <v>3.6</v>
      </c>
      <c r="U6" s="8">
        <v>6.3</v>
      </c>
      <c r="V6" s="8">
        <v>4.9000000000000004</v>
      </c>
      <c r="W6" s="8">
        <v>3.6</v>
      </c>
      <c r="X6" s="8">
        <v>2.4</v>
      </c>
      <c r="Y6" s="8">
        <v>4.5999999999999996</v>
      </c>
      <c r="Z6" s="8">
        <v>3.8</v>
      </c>
      <c r="AA6" s="8">
        <v>4.9000000000000004</v>
      </c>
      <c r="AB6" s="8">
        <v>3.7</v>
      </c>
      <c r="AC6" s="8">
        <v>5.2</v>
      </c>
      <c r="AD6" s="8">
        <v>5.7</v>
      </c>
      <c r="AE6" s="8">
        <v>2.6</v>
      </c>
      <c r="AF6" s="8">
        <v>4.7</v>
      </c>
      <c r="AG6" s="8">
        <v>3.5</v>
      </c>
      <c r="AH6" s="8">
        <v>2.8</v>
      </c>
      <c r="AI6" s="8">
        <v>3.3</v>
      </c>
      <c r="AJ6" s="8">
        <v>2.2999999999999998</v>
      </c>
      <c r="AL6" s="8">
        <f>AVERAGE(C6:AJ6)</f>
        <v>3.35</v>
      </c>
      <c r="AM6" s="8">
        <f>STDEV(C6:AJ6)</f>
        <v>1.4456308259194262</v>
      </c>
    </row>
    <row r="7" spans="1:39">
      <c r="A7" s="22">
        <v>2</v>
      </c>
      <c r="B7" s="8">
        <v>4.2</v>
      </c>
      <c r="C7" s="8">
        <v>3.8</v>
      </c>
      <c r="D7" s="8">
        <v>5.7</v>
      </c>
      <c r="E7" s="8">
        <v>4.0999999999999996</v>
      </c>
      <c r="F7" s="8">
        <v>3.9</v>
      </c>
      <c r="G7" s="8">
        <v>3.3</v>
      </c>
      <c r="H7" s="8">
        <v>2.8</v>
      </c>
      <c r="I7" s="8">
        <v>4.3</v>
      </c>
      <c r="J7" s="8">
        <v>3.8</v>
      </c>
      <c r="K7" s="8">
        <v>2.6</v>
      </c>
      <c r="L7" s="8">
        <v>3.7</v>
      </c>
      <c r="M7" s="8">
        <v>2.7</v>
      </c>
      <c r="N7" s="8">
        <v>3.4</v>
      </c>
      <c r="O7" s="8">
        <v>2.8</v>
      </c>
      <c r="P7" s="8">
        <v>3.5</v>
      </c>
      <c r="Q7" s="8">
        <v>6.8</v>
      </c>
      <c r="R7" s="8">
        <v>3.3</v>
      </c>
      <c r="S7" s="8">
        <v>0.9</v>
      </c>
      <c r="T7" s="8">
        <v>2.7</v>
      </c>
      <c r="U7" s="8">
        <v>4.5999999999999996</v>
      </c>
      <c r="V7" s="8">
        <v>7.1</v>
      </c>
      <c r="W7" s="8">
        <v>5.4</v>
      </c>
      <c r="X7" s="8">
        <v>7.5</v>
      </c>
      <c r="Y7" s="8">
        <v>5.8</v>
      </c>
      <c r="Z7" s="8">
        <v>4.5999999999999996</v>
      </c>
      <c r="AA7" s="8">
        <v>7.1</v>
      </c>
      <c r="AB7" s="8">
        <v>3.6</v>
      </c>
      <c r="AC7" s="8">
        <v>5.0999999999999996</v>
      </c>
      <c r="AD7" s="8">
        <v>4.3</v>
      </c>
      <c r="AE7" s="8">
        <v>5.7</v>
      </c>
      <c r="AF7" s="8">
        <v>2.1</v>
      </c>
      <c r="AG7" s="8">
        <v>2.5</v>
      </c>
      <c r="AH7" s="8">
        <v>3.3</v>
      </c>
      <c r="AI7" s="8">
        <v>2.7</v>
      </c>
      <c r="AJ7" s="8">
        <v>1.6</v>
      </c>
      <c r="AL7" s="8">
        <f t="shared" ref="AL7:AL15" si="0">AVERAGE(C7:AJ7)</f>
        <v>4.0323529411764687</v>
      </c>
      <c r="AM7" s="8">
        <f t="shared" ref="AM7:AM15" si="1">STDEV(C7:AJ7)</f>
        <v>1.6137140650620165</v>
      </c>
    </row>
    <row r="8" spans="1:39">
      <c r="A8" s="22">
        <v>3</v>
      </c>
      <c r="B8" s="8">
        <v>2.1</v>
      </c>
      <c r="C8" s="8">
        <v>3.2</v>
      </c>
      <c r="D8" s="8">
        <v>3.3</v>
      </c>
      <c r="E8" s="8">
        <v>4.8</v>
      </c>
      <c r="F8" s="8">
        <v>2.1</v>
      </c>
      <c r="G8" s="8">
        <v>3.6</v>
      </c>
      <c r="H8" s="8">
        <v>4.5</v>
      </c>
      <c r="I8" s="8">
        <v>5.2</v>
      </c>
      <c r="J8" s="8">
        <v>3.2</v>
      </c>
      <c r="K8" s="8">
        <v>5.0999999999999996</v>
      </c>
      <c r="L8" s="8">
        <v>5.7</v>
      </c>
      <c r="M8" s="8">
        <v>2.5</v>
      </c>
      <c r="N8" s="8">
        <v>2.2000000000000002</v>
      </c>
      <c r="O8" s="8">
        <v>3.7</v>
      </c>
      <c r="P8" s="8">
        <v>5.2</v>
      </c>
      <c r="Q8" s="8">
        <v>2.2999999999999998</v>
      </c>
      <c r="R8" s="8">
        <v>5.3</v>
      </c>
      <c r="S8" s="8">
        <v>5.3</v>
      </c>
      <c r="T8" s="8">
        <v>6.3</v>
      </c>
      <c r="U8" s="8">
        <v>2.2000000000000002</v>
      </c>
      <c r="V8" s="8">
        <v>3.2</v>
      </c>
      <c r="W8" s="8">
        <v>4.2</v>
      </c>
      <c r="X8" s="8">
        <v>2.6</v>
      </c>
      <c r="Y8" s="8">
        <v>1.9</v>
      </c>
      <c r="Z8" s="8">
        <v>2.5</v>
      </c>
      <c r="AA8" s="8">
        <v>3.7</v>
      </c>
      <c r="AB8" s="8">
        <v>3.2</v>
      </c>
      <c r="AC8" s="8">
        <v>6.2</v>
      </c>
      <c r="AD8" s="8">
        <v>2.6</v>
      </c>
      <c r="AE8" s="8">
        <v>5.8</v>
      </c>
      <c r="AF8" s="8">
        <v>2.6</v>
      </c>
      <c r="AG8" s="8">
        <v>3.1</v>
      </c>
      <c r="AH8" s="8">
        <v>3.6</v>
      </c>
      <c r="AI8" s="8">
        <v>2.1</v>
      </c>
      <c r="AJ8" s="8">
        <v>3.3</v>
      </c>
      <c r="AL8" s="8">
        <f t="shared" si="0"/>
        <v>3.7147058823529409</v>
      </c>
      <c r="AM8" s="8">
        <f t="shared" si="1"/>
        <v>1.3271368938869361</v>
      </c>
    </row>
    <row r="9" spans="1:39">
      <c r="A9" s="22">
        <v>4</v>
      </c>
      <c r="B9" s="8">
        <v>1.3</v>
      </c>
      <c r="C9" s="8">
        <v>3.2</v>
      </c>
      <c r="D9" s="8">
        <v>4.2</v>
      </c>
      <c r="E9" s="8">
        <v>2.7</v>
      </c>
      <c r="F9" s="8">
        <v>4.5999999999999996</v>
      </c>
      <c r="G9" s="8">
        <v>4.5999999999999996</v>
      </c>
      <c r="H9" s="8">
        <v>5.5</v>
      </c>
      <c r="I9" s="8">
        <v>5.2</v>
      </c>
      <c r="J9" s="8">
        <v>4.9000000000000004</v>
      </c>
      <c r="K9" s="8">
        <v>3.5</v>
      </c>
      <c r="L9" s="8">
        <v>4.4000000000000004</v>
      </c>
      <c r="M9" s="8">
        <v>5.2</v>
      </c>
      <c r="N9" s="8">
        <v>2.1</v>
      </c>
      <c r="O9" s="8">
        <v>6.3</v>
      </c>
      <c r="P9" s="8">
        <v>2.8</v>
      </c>
      <c r="Q9" s="8">
        <v>0.3</v>
      </c>
      <c r="R9" s="8">
        <v>2.4</v>
      </c>
      <c r="S9" s="8">
        <v>5.3</v>
      </c>
      <c r="T9" s="8">
        <v>1.3</v>
      </c>
      <c r="U9" s="8">
        <v>4.3</v>
      </c>
      <c r="V9" s="8">
        <v>5.0999999999999996</v>
      </c>
      <c r="W9" s="8">
        <v>2.7</v>
      </c>
      <c r="X9" s="8">
        <v>3.1</v>
      </c>
      <c r="Y9" s="8">
        <v>2.2000000000000002</v>
      </c>
      <c r="Z9" s="8">
        <v>3.1</v>
      </c>
      <c r="AA9" s="8">
        <v>2.6</v>
      </c>
      <c r="AB9" s="8">
        <v>3.2</v>
      </c>
      <c r="AC9" s="8">
        <v>3.1</v>
      </c>
      <c r="AD9" s="8">
        <v>5.4</v>
      </c>
      <c r="AE9" s="8">
        <v>2.8</v>
      </c>
      <c r="AF9" s="8">
        <v>3.1</v>
      </c>
      <c r="AG9" s="8">
        <v>2.1</v>
      </c>
      <c r="AH9" s="8">
        <v>1.8</v>
      </c>
      <c r="AI9" s="8">
        <v>3.1</v>
      </c>
      <c r="AJ9" s="8">
        <v>3.1</v>
      </c>
      <c r="AL9" s="8">
        <f t="shared" si="0"/>
        <v>3.5088235294117629</v>
      </c>
      <c r="AM9" s="8">
        <f t="shared" si="1"/>
        <v>1.3745230901990009</v>
      </c>
    </row>
    <row r="10" spans="1:39">
      <c r="A10" s="22">
        <v>5</v>
      </c>
      <c r="B10" s="8">
        <v>3.2</v>
      </c>
      <c r="C10" s="8">
        <v>5.6</v>
      </c>
      <c r="D10" s="8">
        <v>2.1</v>
      </c>
      <c r="E10" s="8">
        <v>4.2</v>
      </c>
      <c r="F10" s="8">
        <v>2.6</v>
      </c>
      <c r="G10" s="8">
        <v>3.1</v>
      </c>
      <c r="H10" s="8">
        <v>2.9</v>
      </c>
      <c r="I10" s="8">
        <v>5.3</v>
      </c>
      <c r="J10" s="8">
        <v>5.3</v>
      </c>
      <c r="K10" s="8">
        <v>3.6</v>
      </c>
      <c r="L10" s="8">
        <v>3.3</v>
      </c>
      <c r="M10" s="8">
        <v>2.9</v>
      </c>
      <c r="N10" s="8">
        <v>7.3</v>
      </c>
      <c r="O10" s="8">
        <v>2.9</v>
      </c>
      <c r="P10" s="8">
        <v>5.2</v>
      </c>
      <c r="Q10" s="8">
        <v>1.9</v>
      </c>
      <c r="R10" s="8">
        <v>4.2</v>
      </c>
      <c r="S10" s="8">
        <v>2.2999999999999998</v>
      </c>
      <c r="T10" s="8">
        <v>2.4</v>
      </c>
      <c r="U10" s="8">
        <v>2.4</v>
      </c>
      <c r="V10" s="8">
        <v>3.5</v>
      </c>
      <c r="W10" s="8">
        <v>3.1</v>
      </c>
      <c r="X10" s="8">
        <v>3.9</v>
      </c>
      <c r="Y10" s="8">
        <v>1.7</v>
      </c>
      <c r="Z10" s="8">
        <v>6.3</v>
      </c>
      <c r="AA10" s="8">
        <v>4.2</v>
      </c>
      <c r="AB10" s="8">
        <v>2.6</v>
      </c>
      <c r="AC10" s="8">
        <v>3.1</v>
      </c>
      <c r="AD10" s="8">
        <v>2.1</v>
      </c>
      <c r="AE10" s="8">
        <v>2.7</v>
      </c>
      <c r="AF10" s="8">
        <v>2.2000000000000002</v>
      </c>
      <c r="AG10" s="8">
        <v>2.6</v>
      </c>
      <c r="AH10" s="8">
        <v>1.9</v>
      </c>
      <c r="AI10" s="8">
        <v>1.4</v>
      </c>
      <c r="AJ10" s="8">
        <v>3.1</v>
      </c>
      <c r="AL10" s="8">
        <f t="shared" si="0"/>
        <v>3.3499999999999996</v>
      </c>
      <c r="AM10" s="8">
        <f t="shared" si="1"/>
        <v>1.3926756458506246</v>
      </c>
    </row>
    <row r="11" spans="1:39">
      <c r="A11" s="22">
        <v>6</v>
      </c>
      <c r="B11" s="8">
        <v>2.5</v>
      </c>
      <c r="C11" s="8">
        <v>1.5</v>
      </c>
      <c r="D11" s="8">
        <v>4.2</v>
      </c>
      <c r="E11" s="8">
        <v>2.7</v>
      </c>
      <c r="F11" s="8">
        <v>3.2</v>
      </c>
      <c r="G11" s="8">
        <v>5.2</v>
      </c>
      <c r="H11" s="8">
        <v>6.3</v>
      </c>
      <c r="I11" s="8">
        <v>2.6</v>
      </c>
      <c r="J11" s="8">
        <v>2.1</v>
      </c>
      <c r="K11" s="8">
        <v>1.6</v>
      </c>
      <c r="L11" s="8">
        <v>3.5</v>
      </c>
      <c r="M11" s="8">
        <v>3.6</v>
      </c>
      <c r="N11" s="8">
        <v>2.1</v>
      </c>
      <c r="O11" s="8">
        <v>2.2000000000000002</v>
      </c>
      <c r="P11" s="8">
        <v>3.6</v>
      </c>
      <c r="Q11" s="8">
        <v>3.1</v>
      </c>
      <c r="R11" s="8">
        <v>3.6</v>
      </c>
      <c r="S11" s="8">
        <v>4.8</v>
      </c>
      <c r="T11" s="8">
        <v>5.7</v>
      </c>
      <c r="U11" s="8">
        <v>0.8</v>
      </c>
      <c r="V11" s="8">
        <v>2.7</v>
      </c>
      <c r="W11" s="8">
        <v>3.6</v>
      </c>
      <c r="X11" s="8">
        <v>2.8</v>
      </c>
      <c r="Y11" s="8">
        <v>4.8</v>
      </c>
      <c r="Z11" s="8">
        <v>0.9</v>
      </c>
      <c r="AA11" s="8">
        <v>4.7</v>
      </c>
      <c r="AB11" s="8">
        <v>2.1</v>
      </c>
      <c r="AC11" s="8">
        <v>4.3</v>
      </c>
      <c r="AD11" s="8">
        <v>4.2</v>
      </c>
      <c r="AE11" s="8">
        <v>4.7</v>
      </c>
      <c r="AF11" s="8">
        <v>2.7</v>
      </c>
      <c r="AG11" s="8">
        <v>3.7</v>
      </c>
      <c r="AH11" s="8">
        <v>4.7</v>
      </c>
      <c r="AI11" s="8">
        <v>3.3</v>
      </c>
      <c r="AJ11" s="8">
        <v>5.3</v>
      </c>
      <c r="AL11" s="8">
        <f t="shared" si="0"/>
        <v>3.4382352941176473</v>
      </c>
      <c r="AM11" s="8">
        <f t="shared" si="1"/>
        <v>1.357585804170873</v>
      </c>
    </row>
    <row r="12" spans="1:39">
      <c r="A12" s="22">
        <v>7</v>
      </c>
      <c r="B12" s="8">
        <v>1.8</v>
      </c>
      <c r="C12" s="8">
        <v>3.6</v>
      </c>
      <c r="D12" s="8">
        <v>1.5</v>
      </c>
      <c r="E12" s="8">
        <v>4.7</v>
      </c>
      <c r="F12" s="8">
        <v>4.3</v>
      </c>
      <c r="G12" s="8">
        <v>3.1</v>
      </c>
      <c r="H12" s="8">
        <v>1.8</v>
      </c>
      <c r="I12" s="8">
        <v>2.7</v>
      </c>
      <c r="J12" s="8">
        <v>4.3</v>
      </c>
      <c r="K12" s="8">
        <v>2.7</v>
      </c>
      <c r="L12" s="8">
        <v>3.3</v>
      </c>
      <c r="M12" s="8">
        <v>4.5999999999999996</v>
      </c>
      <c r="N12" s="8">
        <v>3.6</v>
      </c>
      <c r="O12" s="8">
        <v>4.2</v>
      </c>
      <c r="P12" s="8">
        <v>5.8</v>
      </c>
      <c r="Q12" s="8">
        <v>2.5</v>
      </c>
      <c r="R12" s="8">
        <v>1.8</v>
      </c>
      <c r="S12" s="8">
        <v>3.7</v>
      </c>
      <c r="T12" s="8">
        <v>3.7</v>
      </c>
      <c r="U12" s="8">
        <v>2.6</v>
      </c>
      <c r="V12" s="8">
        <v>2.1</v>
      </c>
      <c r="W12" s="8">
        <v>4.7</v>
      </c>
      <c r="X12" s="8">
        <v>1.7</v>
      </c>
      <c r="Y12" s="8">
        <v>2.1</v>
      </c>
      <c r="Z12" s="8">
        <v>3.4</v>
      </c>
      <c r="AA12" s="8">
        <v>2.7</v>
      </c>
      <c r="AB12" s="8">
        <v>2.1</v>
      </c>
      <c r="AC12" s="8">
        <v>3.7</v>
      </c>
      <c r="AD12" s="8">
        <v>4.7</v>
      </c>
      <c r="AE12" s="8">
        <v>1.8</v>
      </c>
      <c r="AF12" s="8">
        <v>2.5</v>
      </c>
      <c r="AG12" s="8">
        <v>4.0999999999999996</v>
      </c>
      <c r="AH12" s="8">
        <v>2.5</v>
      </c>
      <c r="AI12" s="8">
        <v>1.5</v>
      </c>
      <c r="AJ12" s="8">
        <v>4.5999999999999996</v>
      </c>
      <c r="AL12" s="8">
        <f t="shared" si="0"/>
        <v>3.1970588235294115</v>
      </c>
      <c r="AM12" s="8">
        <f t="shared" si="1"/>
        <v>1.1403043969252522</v>
      </c>
    </row>
    <row r="13" spans="1:39">
      <c r="A13" s="22">
        <v>8</v>
      </c>
      <c r="B13" s="8">
        <v>2.1</v>
      </c>
      <c r="C13" s="8">
        <v>2.2000000000000002</v>
      </c>
      <c r="D13" s="8">
        <v>4.5999999999999996</v>
      </c>
      <c r="E13" s="8">
        <v>2.1</v>
      </c>
      <c r="F13" s="8">
        <v>3.2</v>
      </c>
      <c r="G13" s="8">
        <v>2.1</v>
      </c>
      <c r="H13" s="8">
        <v>3.1</v>
      </c>
      <c r="I13" s="8">
        <v>2.5</v>
      </c>
      <c r="J13" s="8">
        <v>4.5999999999999996</v>
      </c>
      <c r="K13" s="8">
        <v>5.6</v>
      </c>
      <c r="L13" s="8">
        <v>3.1</v>
      </c>
      <c r="M13" s="8">
        <v>3.2</v>
      </c>
      <c r="N13" s="8">
        <v>2.2999999999999998</v>
      </c>
      <c r="O13" s="8">
        <v>2.4</v>
      </c>
      <c r="P13" s="8">
        <v>2.5</v>
      </c>
      <c r="Q13" s="8">
        <v>3.5</v>
      </c>
      <c r="R13" s="8">
        <v>2.7</v>
      </c>
      <c r="S13" s="8">
        <v>3.8</v>
      </c>
      <c r="T13" s="8">
        <v>2.1</v>
      </c>
      <c r="U13" s="8">
        <v>5.6</v>
      </c>
      <c r="V13" s="8">
        <v>5.3</v>
      </c>
      <c r="W13" s="8">
        <v>5.5</v>
      </c>
      <c r="X13" s="8">
        <v>4.8</v>
      </c>
      <c r="Y13" s="8">
        <v>2.2999999999999998</v>
      </c>
      <c r="Z13" s="8">
        <v>3.1</v>
      </c>
      <c r="AA13" s="8">
        <v>2.9</v>
      </c>
      <c r="AB13" s="8">
        <v>2.5</v>
      </c>
      <c r="AC13" s="8">
        <v>2.2000000000000002</v>
      </c>
      <c r="AD13" s="8">
        <v>4.3</v>
      </c>
      <c r="AE13" s="8">
        <v>4.3</v>
      </c>
      <c r="AF13" s="8">
        <v>5.7</v>
      </c>
      <c r="AG13" s="8">
        <v>3.6</v>
      </c>
      <c r="AH13" s="8">
        <v>2.1</v>
      </c>
      <c r="AI13" s="8">
        <v>2.2000000000000002</v>
      </c>
      <c r="AJ13" s="8">
        <v>1.8</v>
      </c>
      <c r="AL13" s="8">
        <f t="shared" si="0"/>
        <v>3.3470588235294114</v>
      </c>
      <c r="AM13" s="8">
        <f t="shared" si="1"/>
        <v>1.2326948291809641</v>
      </c>
    </row>
    <row r="14" spans="1:39">
      <c r="A14" s="22">
        <v>9</v>
      </c>
      <c r="B14" s="8">
        <v>2.2999999999999998</v>
      </c>
      <c r="C14" s="8">
        <v>1.6</v>
      </c>
      <c r="D14" s="8">
        <v>2.7</v>
      </c>
      <c r="E14" s="8">
        <v>2.1</v>
      </c>
      <c r="F14" s="8">
        <v>5.3</v>
      </c>
      <c r="G14" s="8">
        <v>2.7</v>
      </c>
      <c r="H14" s="8">
        <v>3.2</v>
      </c>
      <c r="I14" s="8">
        <v>3.5</v>
      </c>
      <c r="J14" s="8">
        <v>6.3</v>
      </c>
      <c r="K14" s="8">
        <v>3.3</v>
      </c>
      <c r="L14" s="8">
        <v>2.1</v>
      </c>
      <c r="M14" s="8">
        <v>4.7</v>
      </c>
      <c r="N14" s="8">
        <v>4.0999999999999996</v>
      </c>
      <c r="O14" s="8">
        <v>6.4</v>
      </c>
      <c r="P14" s="8">
        <v>3.7</v>
      </c>
      <c r="Q14" s="8">
        <v>3.2</v>
      </c>
      <c r="R14" s="8">
        <v>1.8</v>
      </c>
      <c r="S14" s="8">
        <v>2.6</v>
      </c>
      <c r="T14" s="8">
        <v>1.6</v>
      </c>
      <c r="U14" s="8">
        <v>4.3</v>
      </c>
      <c r="V14" s="8">
        <v>5.2</v>
      </c>
      <c r="W14" s="8">
        <v>4.7</v>
      </c>
      <c r="X14" s="8">
        <v>3.3</v>
      </c>
      <c r="Y14" s="8">
        <v>2.7</v>
      </c>
      <c r="Z14" s="8">
        <v>4.7</v>
      </c>
      <c r="AA14" s="8">
        <v>2.4</v>
      </c>
      <c r="AB14" s="8">
        <v>3.2</v>
      </c>
      <c r="AC14" s="8">
        <v>1.3</v>
      </c>
      <c r="AD14" s="8">
        <v>2.1</v>
      </c>
      <c r="AE14" s="8">
        <v>2.7</v>
      </c>
      <c r="AF14" s="8">
        <v>3.3</v>
      </c>
      <c r="AG14" s="8">
        <v>2.1</v>
      </c>
      <c r="AH14" s="8">
        <v>3.8</v>
      </c>
      <c r="AI14" s="8">
        <v>2.2999999999999998</v>
      </c>
      <c r="AJ14" s="8">
        <v>2.2000000000000002</v>
      </c>
      <c r="AL14" s="8">
        <f t="shared" si="0"/>
        <v>3.2705882352941176</v>
      </c>
      <c r="AM14" s="8">
        <f t="shared" si="1"/>
        <v>1.3134570188869752</v>
      </c>
    </row>
    <row r="15" spans="1:39">
      <c r="A15" s="22">
        <v>10</v>
      </c>
      <c r="B15" s="8">
        <v>3.2</v>
      </c>
      <c r="C15" s="8">
        <v>5.0999999999999996</v>
      </c>
      <c r="D15" s="8">
        <v>2.6</v>
      </c>
      <c r="E15" s="8">
        <v>3.7</v>
      </c>
      <c r="F15" s="8">
        <v>2.4</v>
      </c>
      <c r="G15" s="8">
        <v>3.1</v>
      </c>
      <c r="H15" s="8">
        <v>5.3</v>
      </c>
      <c r="I15" s="8">
        <v>6.3</v>
      </c>
      <c r="J15" s="8">
        <v>3.9</v>
      </c>
      <c r="K15" s="8">
        <v>2.8</v>
      </c>
      <c r="L15" s="8">
        <v>3.6</v>
      </c>
      <c r="M15" s="8">
        <v>4.7</v>
      </c>
      <c r="N15" s="8">
        <v>3.8</v>
      </c>
      <c r="O15" s="8">
        <v>3.1</v>
      </c>
      <c r="P15" s="8">
        <v>2.4</v>
      </c>
      <c r="Q15" s="8">
        <v>3.5</v>
      </c>
      <c r="R15" s="8">
        <v>5.8</v>
      </c>
      <c r="S15" s="8">
        <v>3.2</v>
      </c>
      <c r="T15" s="8">
        <v>3.7</v>
      </c>
      <c r="U15" s="8">
        <v>3.5</v>
      </c>
      <c r="V15" s="8">
        <v>2.4</v>
      </c>
      <c r="W15" s="8">
        <v>4.5999999999999996</v>
      </c>
      <c r="X15" s="8">
        <v>1.6</v>
      </c>
      <c r="Y15" s="8">
        <v>3.6</v>
      </c>
      <c r="Z15" s="8">
        <v>3.5</v>
      </c>
      <c r="AA15" s="8">
        <v>3.5</v>
      </c>
      <c r="AB15" s="8">
        <v>2.7</v>
      </c>
      <c r="AC15" s="8">
        <v>4.3</v>
      </c>
      <c r="AD15" s="8">
        <v>2.6</v>
      </c>
      <c r="AE15" s="8">
        <v>3.6</v>
      </c>
      <c r="AF15" s="8">
        <v>2.6</v>
      </c>
      <c r="AG15" s="8">
        <v>3.1</v>
      </c>
      <c r="AH15" s="8">
        <v>5.6</v>
      </c>
      <c r="AI15" s="8">
        <v>2.5</v>
      </c>
      <c r="AJ15" s="8">
        <v>2.2000000000000002</v>
      </c>
      <c r="AL15" s="8">
        <f t="shared" si="0"/>
        <v>3.5558823529411754</v>
      </c>
      <c r="AM15" s="8">
        <f t="shared" si="1"/>
        <v>1.1138769793535086</v>
      </c>
    </row>
    <row r="16" spans="1:39">
      <c r="AK16" s="22" t="s">
        <v>44</v>
      </c>
      <c r="AL16" s="22">
        <f>AVERAGE(AL6:AL15)</f>
        <v>3.4764705882352933</v>
      </c>
    </row>
    <row r="17" spans="1:39">
      <c r="AK17" s="22" t="s">
        <v>39</v>
      </c>
      <c r="AL17" s="8">
        <f>STDEV(AL6:AL15)</f>
        <v>0.24580290801497753</v>
      </c>
    </row>
    <row r="20" spans="1:39">
      <c r="A20" s="8" t="s">
        <v>135</v>
      </c>
      <c r="B20" s="173" t="s">
        <v>136</v>
      </c>
      <c r="C20" s="173"/>
      <c r="D20" s="173"/>
      <c r="E20" s="173"/>
      <c r="F20" s="173"/>
      <c r="G20" s="173"/>
      <c r="H20" s="173"/>
      <c r="I20" s="173"/>
      <c r="J20" s="173"/>
      <c r="K20" s="173"/>
      <c r="L20" s="173"/>
      <c r="M20" s="173"/>
      <c r="N20" s="173"/>
      <c r="O20" s="173"/>
      <c r="P20" s="173"/>
      <c r="Q20" s="173"/>
      <c r="R20" s="173"/>
      <c r="S20" s="173"/>
      <c r="T20" s="173"/>
      <c r="U20" s="173"/>
      <c r="V20" s="173"/>
      <c r="W20" s="173"/>
      <c r="X20" s="173"/>
      <c r="Y20" s="173"/>
      <c r="Z20" s="173"/>
      <c r="AA20" s="173"/>
      <c r="AB20" s="173"/>
      <c r="AC20" s="173"/>
      <c r="AD20" s="173"/>
      <c r="AE20" s="173"/>
      <c r="AF20" s="173"/>
      <c r="AG20" s="173"/>
      <c r="AH20" s="173"/>
      <c r="AI20" s="173"/>
      <c r="AJ20" s="173"/>
      <c r="AL20" s="8" t="s">
        <v>44</v>
      </c>
      <c r="AM20" s="8" t="s">
        <v>39</v>
      </c>
    </row>
    <row r="21" spans="1:39">
      <c r="A21" s="22" t="s">
        <v>134</v>
      </c>
      <c r="B21" s="22">
        <v>1</v>
      </c>
      <c r="C21" s="22">
        <v>2</v>
      </c>
      <c r="D21" s="22">
        <v>3</v>
      </c>
      <c r="E21" s="22">
        <v>4</v>
      </c>
      <c r="F21" s="22">
        <v>5</v>
      </c>
      <c r="G21" s="22">
        <v>6</v>
      </c>
      <c r="H21" s="22">
        <v>7</v>
      </c>
      <c r="I21" s="22">
        <v>8</v>
      </c>
      <c r="J21" s="22">
        <v>9</v>
      </c>
      <c r="K21" s="22">
        <v>10</v>
      </c>
      <c r="L21" s="22">
        <v>11</v>
      </c>
      <c r="M21" s="22">
        <v>12</v>
      </c>
      <c r="N21" s="22">
        <v>13</v>
      </c>
      <c r="O21" s="22">
        <v>14</v>
      </c>
      <c r="P21" s="22">
        <v>15</v>
      </c>
      <c r="Q21" s="22">
        <v>16</v>
      </c>
      <c r="R21" s="22">
        <v>17</v>
      </c>
      <c r="S21" s="22">
        <v>18</v>
      </c>
      <c r="T21" s="22">
        <v>19</v>
      </c>
      <c r="U21" s="22">
        <v>20</v>
      </c>
      <c r="V21" s="22">
        <v>21</v>
      </c>
      <c r="W21" s="22">
        <v>22</v>
      </c>
      <c r="X21" s="22">
        <v>23</v>
      </c>
      <c r="Y21" s="22">
        <v>24</v>
      </c>
      <c r="Z21" s="22">
        <v>25</v>
      </c>
      <c r="AA21" s="22">
        <v>26</v>
      </c>
      <c r="AB21" s="22">
        <v>27</v>
      </c>
      <c r="AC21" s="22">
        <v>28</v>
      </c>
      <c r="AD21" s="22">
        <v>29</v>
      </c>
      <c r="AE21" s="22">
        <v>30</v>
      </c>
      <c r="AF21" s="22">
        <v>31</v>
      </c>
      <c r="AG21" s="22">
        <v>32</v>
      </c>
      <c r="AH21" s="22">
        <v>33</v>
      </c>
      <c r="AI21" s="22">
        <v>34</v>
      </c>
      <c r="AJ21" s="22">
        <v>35</v>
      </c>
    </row>
    <row r="22" spans="1:39">
      <c r="A22" s="22">
        <v>1</v>
      </c>
      <c r="B22" s="8">
        <v>5.3</v>
      </c>
      <c r="C22" s="8">
        <v>4.8</v>
      </c>
      <c r="D22" s="8">
        <v>4.4000000000000004</v>
      </c>
      <c r="E22" s="8">
        <v>6.4</v>
      </c>
      <c r="F22" s="8">
        <v>4.0999999999999996</v>
      </c>
      <c r="G22" s="8">
        <v>5.0999999999999996</v>
      </c>
      <c r="H22" s="8">
        <v>6.4</v>
      </c>
      <c r="I22" s="8">
        <v>5.6</v>
      </c>
      <c r="J22" s="8">
        <v>5.0999999999999996</v>
      </c>
      <c r="K22" s="8">
        <v>5.3</v>
      </c>
      <c r="L22" s="8">
        <v>6.4</v>
      </c>
      <c r="M22" s="8">
        <v>6.8</v>
      </c>
      <c r="N22" s="8">
        <v>5.5</v>
      </c>
      <c r="O22" s="8">
        <v>6.7</v>
      </c>
      <c r="P22" s="8">
        <v>6.7</v>
      </c>
      <c r="Q22" s="8">
        <v>6.4</v>
      </c>
      <c r="R22" s="8">
        <v>6.1</v>
      </c>
      <c r="S22" s="8">
        <v>5.9</v>
      </c>
      <c r="T22" s="8">
        <v>6.3</v>
      </c>
      <c r="U22" s="8">
        <v>6.9</v>
      </c>
      <c r="V22" s="8">
        <v>5.0999999999999996</v>
      </c>
      <c r="W22" s="8">
        <v>5.2</v>
      </c>
      <c r="X22" s="8">
        <v>3.5</v>
      </c>
      <c r="Y22" s="8">
        <v>5.6</v>
      </c>
      <c r="Z22" s="8">
        <v>7.4</v>
      </c>
      <c r="AA22" s="8">
        <v>6.7</v>
      </c>
      <c r="AB22" s="8">
        <v>6.1</v>
      </c>
      <c r="AC22" s="8">
        <v>6</v>
      </c>
      <c r="AD22" s="8">
        <v>5.8</v>
      </c>
      <c r="AE22" s="8">
        <v>6.3</v>
      </c>
      <c r="AF22" s="8">
        <v>6.1</v>
      </c>
      <c r="AG22" s="8">
        <v>5.8</v>
      </c>
      <c r="AH22" s="8">
        <v>7.1</v>
      </c>
      <c r="AI22" s="8">
        <v>6.4</v>
      </c>
      <c r="AJ22" s="8">
        <v>5.4</v>
      </c>
      <c r="AL22" s="8">
        <f>AVERAGE(B22:AJ22)</f>
        <v>5.8485714285714288</v>
      </c>
      <c r="AM22" s="8">
        <f>STDEV(B22:AJ22)</f>
        <v>0.86138446310420858</v>
      </c>
    </row>
    <row r="23" spans="1:39">
      <c r="A23" s="22">
        <v>2</v>
      </c>
      <c r="B23" s="8">
        <v>3.6</v>
      </c>
      <c r="C23" s="8">
        <v>4.5999999999999996</v>
      </c>
      <c r="D23" s="8">
        <v>3.1</v>
      </c>
      <c r="E23" s="8">
        <v>5.4</v>
      </c>
      <c r="F23" s="8">
        <v>6.5</v>
      </c>
      <c r="G23" s="8">
        <v>5.9</v>
      </c>
      <c r="H23" s="8">
        <v>4.3</v>
      </c>
      <c r="I23" s="8">
        <v>5.6</v>
      </c>
      <c r="J23" s="8">
        <v>6.4</v>
      </c>
      <c r="K23" s="8">
        <v>6.6</v>
      </c>
      <c r="L23" s="8">
        <v>5.2</v>
      </c>
      <c r="M23" s="8">
        <v>5.9</v>
      </c>
      <c r="N23" s="8">
        <v>4.3</v>
      </c>
      <c r="O23" s="8">
        <v>5.0999999999999996</v>
      </c>
      <c r="P23" s="8">
        <v>6.6</v>
      </c>
      <c r="Q23" s="8">
        <v>5.9</v>
      </c>
      <c r="R23" s="8">
        <v>5.0999999999999996</v>
      </c>
      <c r="S23" s="8">
        <v>4.8</v>
      </c>
      <c r="T23" s="8">
        <v>3.6</v>
      </c>
      <c r="U23" s="8">
        <v>6.1</v>
      </c>
      <c r="V23" s="8">
        <v>4.9000000000000004</v>
      </c>
      <c r="W23" s="8">
        <v>6.1</v>
      </c>
      <c r="X23" s="8">
        <v>4.8</v>
      </c>
      <c r="Y23" s="8">
        <v>4.7</v>
      </c>
      <c r="Z23" s="8">
        <v>5.4</v>
      </c>
      <c r="AA23" s="8">
        <v>6.7</v>
      </c>
      <c r="AB23" s="8">
        <v>5.3</v>
      </c>
      <c r="AC23" s="8">
        <v>6.7</v>
      </c>
      <c r="AD23" s="8">
        <v>5.9</v>
      </c>
      <c r="AE23" s="8">
        <v>6.5</v>
      </c>
      <c r="AF23" s="8">
        <v>5.7</v>
      </c>
      <c r="AG23" s="8">
        <v>6.2</v>
      </c>
      <c r="AH23" s="8">
        <v>3.9</v>
      </c>
      <c r="AI23" s="8">
        <v>4.3</v>
      </c>
      <c r="AJ23" s="8">
        <v>5.6</v>
      </c>
      <c r="AL23" s="8">
        <f t="shared" ref="AL23:AL31" si="2">AVERAGE(B23:AJ23)</f>
        <v>5.3514285714285705</v>
      </c>
      <c r="AM23" s="8">
        <f t="shared" ref="AM23:AM31" si="3">STDEV(B23:AJ23)</f>
        <v>0.97569626076834248</v>
      </c>
    </row>
    <row r="24" spans="1:39">
      <c r="A24" s="22">
        <v>3</v>
      </c>
      <c r="B24" s="8">
        <v>4.5999999999999996</v>
      </c>
      <c r="C24" s="8">
        <v>3.8</v>
      </c>
      <c r="D24" s="8">
        <v>3.4</v>
      </c>
      <c r="E24" s="8">
        <v>4.7</v>
      </c>
      <c r="F24" s="8">
        <v>4.5999999999999996</v>
      </c>
      <c r="G24" s="8">
        <v>4.0999999999999996</v>
      </c>
      <c r="H24" s="8">
        <v>6.2</v>
      </c>
      <c r="I24" s="8">
        <v>4.3</v>
      </c>
      <c r="J24" s="8">
        <v>6.4</v>
      </c>
      <c r="K24" s="8">
        <v>4.7</v>
      </c>
      <c r="L24" s="8">
        <v>7.1</v>
      </c>
      <c r="M24" s="8">
        <v>4.7</v>
      </c>
      <c r="N24" s="8">
        <v>4.8</v>
      </c>
      <c r="O24" s="8">
        <v>5.3</v>
      </c>
      <c r="P24" s="8">
        <v>6.3</v>
      </c>
      <c r="Q24" s="8">
        <v>5.0999999999999996</v>
      </c>
      <c r="R24" s="8">
        <v>4.7</v>
      </c>
      <c r="S24" s="8">
        <v>6.3</v>
      </c>
      <c r="T24" s="8">
        <v>4.7</v>
      </c>
      <c r="U24" s="8">
        <v>5.7</v>
      </c>
      <c r="V24" s="8">
        <v>6.4</v>
      </c>
      <c r="W24" s="8">
        <v>5.5</v>
      </c>
      <c r="X24" s="8">
        <v>6.1</v>
      </c>
      <c r="Y24" s="8">
        <v>5.5</v>
      </c>
      <c r="Z24" s="8">
        <v>6.2</v>
      </c>
      <c r="AA24" s="8">
        <v>5.0999999999999996</v>
      </c>
      <c r="AB24" s="8">
        <v>4.7</v>
      </c>
      <c r="AC24" s="8">
        <v>5.3</v>
      </c>
      <c r="AD24" s="8">
        <v>4.7</v>
      </c>
      <c r="AE24" s="8">
        <v>4.8</v>
      </c>
      <c r="AF24" s="8">
        <v>5.4</v>
      </c>
      <c r="AG24" s="8">
        <v>5.6</v>
      </c>
      <c r="AH24" s="8">
        <v>5.3</v>
      </c>
      <c r="AI24" s="8">
        <v>5.7</v>
      </c>
      <c r="AJ24" s="8">
        <v>3.7</v>
      </c>
      <c r="AL24" s="8">
        <f t="shared" si="2"/>
        <v>5.1857142857142851</v>
      </c>
      <c r="AM24" s="8">
        <f t="shared" si="3"/>
        <v>0.85582531791828176</v>
      </c>
    </row>
    <row r="25" spans="1:39">
      <c r="A25" s="22">
        <v>4</v>
      </c>
      <c r="B25" s="8">
        <v>3.6</v>
      </c>
      <c r="C25" s="8">
        <v>4.3</v>
      </c>
      <c r="D25" s="8">
        <v>5.2</v>
      </c>
      <c r="E25" s="8">
        <v>5.5</v>
      </c>
      <c r="F25" s="8">
        <v>4.7</v>
      </c>
      <c r="G25" s="8">
        <v>5.2</v>
      </c>
      <c r="H25" s="8">
        <v>6.8</v>
      </c>
      <c r="I25" s="8">
        <v>6.5</v>
      </c>
      <c r="J25" s="8">
        <v>3.8</v>
      </c>
      <c r="K25" s="8">
        <v>6.5</v>
      </c>
      <c r="L25" s="8">
        <v>5.2</v>
      </c>
      <c r="M25" s="8">
        <v>5.7</v>
      </c>
      <c r="N25" s="8">
        <v>4.7</v>
      </c>
      <c r="O25" s="8">
        <v>5.0999999999999996</v>
      </c>
      <c r="P25" s="8">
        <v>4.3</v>
      </c>
      <c r="Q25" s="8">
        <v>4.0999999999999996</v>
      </c>
      <c r="R25" s="8">
        <v>5.5</v>
      </c>
      <c r="S25" s="8">
        <v>5.2</v>
      </c>
      <c r="T25" s="8">
        <v>6.2</v>
      </c>
      <c r="U25" s="8">
        <v>5.2</v>
      </c>
      <c r="V25" s="8">
        <v>5.6</v>
      </c>
      <c r="W25" s="8">
        <v>5.3</v>
      </c>
      <c r="X25" s="8">
        <v>5.7</v>
      </c>
      <c r="Y25" s="8">
        <v>5.0999999999999996</v>
      </c>
      <c r="Z25" s="8">
        <v>6.3</v>
      </c>
      <c r="AA25" s="8">
        <v>5.0999999999999996</v>
      </c>
      <c r="AB25" s="8">
        <v>10.5</v>
      </c>
      <c r="AC25" s="8">
        <v>10.4</v>
      </c>
      <c r="AD25" s="8">
        <v>10.4</v>
      </c>
      <c r="AE25" s="8">
        <v>9.8000000000000007</v>
      </c>
      <c r="AF25" s="8">
        <v>10.6</v>
      </c>
      <c r="AG25" s="8">
        <v>7.8</v>
      </c>
      <c r="AH25" s="8">
        <v>7.8</v>
      </c>
      <c r="AI25" s="8">
        <v>7.9</v>
      </c>
      <c r="AJ25" s="8">
        <v>9.4</v>
      </c>
      <c r="AL25" s="8">
        <f t="shared" si="2"/>
        <v>6.3142857142857149</v>
      </c>
      <c r="AM25" s="8">
        <f t="shared" si="3"/>
        <v>2.0605742856190847</v>
      </c>
    </row>
    <row r="26" spans="1:39">
      <c r="A26" s="22">
        <v>5</v>
      </c>
      <c r="B26" s="8">
        <v>3.5</v>
      </c>
      <c r="C26" s="8">
        <v>3.5</v>
      </c>
      <c r="D26" s="8">
        <v>6.3</v>
      </c>
      <c r="E26" s="8">
        <v>5.5</v>
      </c>
      <c r="F26" s="8">
        <v>5.4</v>
      </c>
      <c r="G26" s="8">
        <v>5.2</v>
      </c>
      <c r="H26" s="8">
        <v>6.2</v>
      </c>
      <c r="I26" s="8">
        <v>4.7</v>
      </c>
      <c r="J26" s="8">
        <v>4.4000000000000004</v>
      </c>
      <c r="K26" s="8">
        <v>4.0999999999999996</v>
      </c>
      <c r="L26" s="8">
        <v>3.7</v>
      </c>
      <c r="M26" s="8">
        <v>6.6</v>
      </c>
      <c r="N26" s="8">
        <v>5.0999999999999996</v>
      </c>
      <c r="O26" s="8">
        <v>4.5999999999999996</v>
      </c>
      <c r="P26" s="8">
        <v>3.8</v>
      </c>
      <c r="Q26" s="8">
        <v>4.7</v>
      </c>
      <c r="R26" s="8">
        <v>5.3</v>
      </c>
      <c r="S26" s="8">
        <v>4.2</v>
      </c>
      <c r="T26" s="8">
        <v>6.3</v>
      </c>
      <c r="U26" s="8">
        <v>5.5</v>
      </c>
      <c r="V26" s="8">
        <v>4.7</v>
      </c>
      <c r="W26" s="8">
        <v>4.7</v>
      </c>
      <c r="X26" s="8">
        <v>3.7</v>
      </c>
      <c r="Y26" s="8">
        <v>5.0999999999999996</v>
      </c>
      <c r="Z26" s="8">
        <v>4.9000000000000004</v>
      </c>
      <c r="AA26" s="8">
        <v>4.7</v>
      </c>
      <c r="AB26" s="8">
        <v>4.7</v>
      </c>
      <c r="AC26" s="8">
        <v>4.5999999999999996</v>
      </c>
      <c r="AD26" s="8">
        <v>4.0999999999999996</v>
      </c>
      <c r="AE26" s="8">
        <v>5.7</v>
      </c>
      <c r="AF26" s="8">
        <v>5.0999999999999996</v>
      </c>
      <c r="AG26" s="8">
        <v>5.7</v>
      </c>
      <c r="AH26" s="8">
        <v>3.6</v>
      </c>
      <c r="AI26" s="8">
        <v>3.8</v>
      </c>
      <c r="AJ26" s="8">
        <v>4.7</v>
      </c>
      <c r="AL26" s="8">
        <f t="shared" si="2"/>
        <v>4.8114285714285696</v>
      </c>
      <c r="AM26" s="8">
        <f t="shared" si="3"/>
        <v>0.84427881809808236</v>
      </c>
    </row>
    <row r="27" spans="1:39">
      <c r="A27" s="22">
        <v>6</v>
      </c>
      <c r="B27" s="8">
        <v>4.5</v>
      </c>
      <c r="C27" s="8">
        <v>3.7</v>
      </c>
      <c r="D27" s="8">
        <v>6.7</v>
      </c>
      <c r="E27" s="8">
        <v>6.8</v>
      </c>
      <c r="F27" s="8">
        <v>6.1</v>
      </c>
      <c r="G27" s="8">
        <v>5.7</v>
      </c>
      <c r="H27" s="8">
        <v>5</v>
      </c>
      <c r="I27" s="8">
        <v>6.1</v>
      </c>
      <c r="J27" s="8">
        <v>6.4</v>
      </c>
      <c r="K27" s="8">
        <v>6.1</v>
      </c>
      <c r="L27" s="8">
        <v>5.2</v>
      </c>
      <c r="M27" s="8">
        <v>5.7</v>
      </c>
      <c r="N27" s="8">
        <v>5.0999999999999996</v>
      </c>
      <c r="O27" s="8">
        <v>6.2</v>
      </c>
      <c r="P27" s="8">
        <v>5.6</v>
      </c>
      <c r="Q27" s="8">
        <v>5.8</v>
      </c>
      <c r="R27" s="8">
        <v>6.8</v>
      </c>
      <c r="S27" s="8">
        <v>5.6</v>
      </c>
      <c r="T27" s="8">
        <v>5.2</v>
      </c>
      <c r="U27" s="8">
        <v>6.2</v>
      </c>
      <c r="V27" s="8">
        <v>4.8</v>
      </c>
      <c r="W27" s="8">
        <v>4.2</v>
      </c>
      <c r="X27" s="8">
        <v>4.8</v>
      </c>
      <c r="Y27" s="8">
        <v>4.7</v>
      </c>
      <c r="Z27" s="8">
        <v>5.3</v>
      </c>
      <c r="AA27" s="8">
        <v>5.7</v>
      </c>
      <c r="AB27" s="8">
        <v>3.8</v>
      </c>
      <c r="AC27" s="8">
        <v>4.2</v>
      </c>
      <c r="AD27" s="8">
        <v>3.1</v>
      </c>
      <c r="AE27" s="8">
        <v>3.9</v>
      </c>
      <c r="AF27" s="8">
        <v>4.2</v>
      </c>
      <c r="AG27" s="8">
        <v>4.5999999999999996</v>
      </c>
      <c r="AH27" s="8">
        <v>4.2</v>
      </c>
      <c r="AI27" s="8">
        <v>5.3</v>
      </c>
      <c r="AJ27" s="8">
        <v>5.7</v>
      </c>
      <c r="AL27" s="8">
        <f t="shared" si="2"/>
        <v>5.2285714285714269</v>
      </c>
      <c r="AM27" s="8">
        <f t="shared" si="3"/>
        <v>0.95009950827809175</v>
      </c>
    </row>
    <row r="28" spans="1:39">
      <c r="A28" s="22">
        <v>7</v>
      </c>
      <c r="B28" s="8">
        <v>4.5999999999999996</v>
      </c>
      <c r="C28" s="8">
        <v>3.5</v>
      </c>
      <c r="D28" s="8">
        <v>4.5999999999999996</v>
      </c>
      <c r="E28" s="8">
        <v>6.7</v>
      </c>
      <c r="F28" s="8">
        <v>5.9</v>
      </c>
      <c r="G28" s="8">
        <v>5.5</v>
      </c>
      <c r="H28" s="8">
        <v>5.0999999999999996</v>
      </c>
      <c r="I28" s="8">
        <v>2.2999999999999998</v>
      </c>
      <c r="J28" s="8">
        <v>5.0999999999999996</v>
      </c>
      <c r="K28" s="8">
        <v>4.3</v>
      </c>
      <c r="L28" s="8">
        <v>4.7</v>
      </c>
      <c r="M28" s="8">
        <v>4.2</v>
      </c>
      <c r="N28" s="8">
        <v>4.4000000000000004</v>
      </c>
      <c r="O28" s="8">
        <v>4.5999999999999996</v>
      </c>
      <c r="P28" s="8">
        <v>3.1</v>
      </c>
      <c r="Q28" s="8">
        <v>3.4</v>
      </c>
      <c r="R28" s="8">
        <v>5.2</v>
      </c>
      <c r="S28" s="8">
        <v>3.7</v>
      </c>
      <c r="T28" s="8">
        <v>4.7</v>
      </c>
      <c r="U28" s="8">
        <v>5.3</v>
      </c>
      <c r="V28" s="8">
        <v>3.8</v>
      </c>
      <c r="W28" s="8">
        <v>3.1</v>
      </c>
      <c r="X28" s="8">
        <v>5.3</v>
      </c>
      <c r="Y28" s="8">
        <v>4.3</v>
      </c>
      <c r="Z28" s="8">
        <v>4.7</v>
      </c>
      <c r="AA28" s="8">
        <v>5.7</v>
      </c>
      <c r="AB28" s="8">
        <v>4.2</v>
      </c>
      <c r="AC28" s="8">
        <v>4.4000000000000004</v>
      </c>
      <c r="AD28" s="8">
        <v>4.0999999999999996</v>
      </c>
      <c r="AE28" s="8">
        <v>3.9</v>
      </c>
      <c r="AF28" s="8">
        <v>4.2</v>
      </c>
      <c r="AG28" s="8">
        <v>3.4</v>
      </c>
      <c r="AH28" s="8">
        <v>5.0999999999999996</v>
      </c>
      <c r="AI28" s="8">
        <v>4.7</v>
      </c>
      <c r="AJ28" s="8">
        <v>5.5</v>
      </c>
      <c r="AL28" s="8">
        <f t="shared" si="2"/>
        <v>4.4942857142857138</v>
      </c>
      <c r="AM28" s="8">
        <f t="shared" si="3"/>
        <v>0.89900037857181592</v>
      </c>
    </row>
    <row r="29" spans="1:39">
      <c r="A29" s="22">
        <v>8</v>
      </c>
      <c r="B29" s="8">
        <v>3.4</v>
      </c>
      <c r="C29" s="8">
        <v>3.3</v>
      </c>
      <c r="D29" s="8">
        <v>5.0999999999999996</v>
      </c>
      <c r="E29" s="8">
        <v>5.3</v>
      </c>
      <c r="F29" s="8">
        <v>6.5</v>
      </c>
      <c r="G29" s="8">
        <v>3.8</v>
      </c>
      <c r="H29" s="8">
        <v>6.7</v>
      </c>
      <c r="I29" s="8">
        <v>6.3</v>
      </c>
      <c r="J29" s="8">
        <v>4.0999999999999996</v>
      </c>
      <c r="K29" s="8">
        <v>3.6</v>
      </c>
      <c r="L29" s="8">
        <v>6.9</v>
      </c>
      <c r="M29" s="8">
        <v>5.3</v>
      </c>
      <c r="N29" s="8">
        <v>6.2</v>
      </c>
      <c r="O29" s="8">
        <v>6.4</v>
      </c>
      <c r="P29" s="8">
        <v>3.9</v>
      </c>
      <c r="Q29" s="8">
        <v>3.8</v>
      </c>
      <c r="R29" s="8">
        <v>4.0999999999999996</v>
      </c>
      <c r="S29" s="8">
        <v>5.4</v>
      </c>
      <c r="T29" s="8">
        <v>4.3</v>
      </c>
      <c r="U29" s="8">
        <v>3.6</v>
      </c>
      <c r="V29" s="8">
        <v>2.6</v>
      </c>
      <c r="W29" s="8">
        <v>3.1</v>
      </c>
      <c r="X29" s="8">
        <v>3.9</v>
      </c>
      <c r="Y29" s="8">
        <v>5.2</v>
      </c>
      <c r="Z29" s="8">
        <v>4.0999999999999996</v>
      </c>
      <c r="AA29" s="8">
        <v>4.3</v>
      </c>
      <c r="AB29" s="8">
        <v>4.8</v>
      </c>
      <c r="AC29" s="8">
        <v>3.6</v>
      </c>
      <c r="AD29" s="8">
        <v>4.3</v>
      </c>
      <c r="AE29" s="8">
        <v>3.6</v>
      </c>
      <c r="AF29" s="8">
        <v>4.4000000000000004</v>
      </c>
      <c r="AG29" s="8">
        <v>3.6</v>
      </c>
      <c r="AH29" s="8">
        <v>4.5999999999999996</v>
      </c>
      <c r="AI29" s="8">
        <v>3.8</v>
      </c>
      <c r="AJ29" s="8">
        <v>6.4</v>
      </c>
      <c r="AL29" s="8">
        <f t="shared" si="2"/>
        <v>4.58</v>
      </c>
      <c r="AM29" s="8">
        <f t="shared" si="3"/>
        <v>1.1610846855672603</v>
      </c>
    </row>
    <row r="30" spans="1:39">
      <c r="A30" s="22">
        <v>9</v>
      </c>
      <c r="B30" s="8">
        <v>3.2</v>
      </c>
      <c r="C30" s="8">
        <v>2.1</v>
      </c>
      <c r="D30" s="8">
        <v>6.4</v>
      </c>
      <c r="E30" s="8">
        <v>6.3</v>
      </c>
      <c r="F30" s="8">
        <v>6.3</v>
      </c>
      <c r="G30" s="8">
        <v>2.2999999999999998</v>
      </c>
      <c r="H30" s="8">
        <v>5.9</v>
      </c>
      <c r="I30" s="8">
        <v>5.8</v>
      </c>
      <c r="J30" s="8">
        <v>5.4</v>
      </c>
      <c r="K30" s="8">
        <v>4.2</v>
      </c>
      <c r="L30" s="8">
        <v>4.0999999999999996</v>
      </c>
      <c r="M30" s="8">
        <v>5.6</v>
      </c>
      <c r="N30" s="8">
        <v>5.6</v>
      </c>
      <c r="O30" s="8">
        <v>4.5999999999999996</v>
      </c>
      <c r="P30" s="8">
        <v>5.3</v>
      </c>
      <c r="Q30" s="8">
        <v>3.1</v>
      </c>
      <c r="R30" s="8">
        <v>2.2000000000000002</v>
      </c>
      <c r="S30" s="8">
        <v>6.1</v>
      </c>
      <c r="T30" s="8">
        <v>4.9000000000000004</v>
      </c>
      <c r="U30" s="8">
        <v>4.3</v>
      </c>
      <c r="V30" s="8">
        <v>4.0999999999999996</v>
      </c>
      <c r="W30" s="8">
        <v>4.5999999999999996</v>
      </c>
      <c r="X30" s="8">
        <v>3.6</v>
      </c>
      <c r="Y30" s="8">
        <v>4.2</v>
      </c>
      <c r="Z30" s="8">
        <v>4.2</v>
      </c>
      <c r="AA30" s="8">
        <v>3.7</v>
      </c>
      <c r="AB30" s="8">
        <v>6.2</v>
      </c>
      <c r="AC30" s="8">
        <v>3.6</v>
      </c>
      <c r="AD30" s="8">
        <v>4.0999999999999996</v>
      </c>
      <c r="AE30" s="8">
        <v>3.3</v>
      </c>
      <c r="AF30" s="8">
        <v>4.2</v>
      </c>
      <c r="AG30" s="8">
        <v>5.2</v>
      </c>
      <c r="AH30" s="8">
        <v>4.5999999999999996</v>
      </c>
      <c r="AI30" s="8">
        <v>3.6</v>
      </c>
      <c r="AJ30" s="8">
        <v>5.4</v>
      </c>
      <c r="AL30" s="8">
        <f t="shared" si="2"/>
        <v>4.5228571428571414</v>
      </c>
      <c r="AM30" s="8">
        <f t="shared" si="3"/>
        <v>1.2061327880963277</v>
      </c>
    </row>
    <row r="31" spans="1:39">
      <c r="A31" s="22">
        <v>10</v>
      </c>
      <c r="B31" s="8">
        <v>4.3</v>
      </c>
      <c r="C31" s="8">
        <v>5.3</v>
      </c>
      <c r="D31" s="8">
        <v>3.2</v>
      </c>
      <c r="E31" s="8">
        <v>7.2</v>
      </c>
      <c r="F31" s="8">
        <v>4.7</v>
      </c>
      <c r="G31" s="8">
        <v>4.7</v>
      </c>
      <c r="H31" s="8">
        <v>7.8</v>
      </c>
      <c r="I31" s="8">
        <v>5.5</v>
      </c>
      <c r="J31" s="8">
        <v>5.0999999999999996</v>
      </c>
      <c r="K31" s="8">
        <v>2.9</v>
      </c>
      <c r="L31" s="8">
        <v>5.3</v>
      </c>
      <c r="M31" s="8">
        <v>5.3</v>
      </c>
      <c r="N31" s="8">
        <v>5.3</v>
      </c>
      <c r="O31" s="8">
        <v>4.2</v>
      </c>
      <c r="P31" s="8">
        <v>4.7</v>
      </c>
      <c r="Q31" s="8">
        <v>5</v>
      </c>
      <c r="R31" s="8">
        <v>4.5999999999999996</v>
      </c>
      <c r="S31" s="8">
        <v>3.7</v>
      </c>
      <c r="T31" s="8">
        <v>5.2</v>
      </c>
      <c r="U31" s="8">
        <v>3.7</v>
      </c>
      <c r="V31" s="8">
        <v>5.0999999999999996</v>
      </c>
      <c r="W31" s="8">
        <v>3.9</v>
      </c>
      <c r="X31" s="8">
        <v>4.3</v>
      </c>
      <c r="Y31" s="8">
        <v>5.4</v>
      </c>
      <c r="Z31" s="8">
        <v>4.5999999999999996</v>
      </c>
      <c r="AA31" s="8">
        <v>4.3</v>
      </c>
      <c r="AB31" s="8">
        <v>4.2</v>
      </c>
      <c r="AC31" s="8">
        <v>5.3</v>
      </c>
      <c r="AD31" s="8">
        <v>4.7</v>
      </c>
      <c r="AE31" s="8">
        <v>2.7</v>
      </c>
      <c r="AF31" s="8">
        <v>4.5999999999999996</v>
      </c>
      <c r="AG31" s="8">
        <v>3.1</v>
      </c>
      <c r="AH31" s="8">
        <v>3.7</v>
      </c>
      <c r="AI31" s="8">
        <v>4.0999999999999996</v>
      </c>
      <c r="AJ31" s="8">
        <v>4.3</v>
      </c>
      <c r="AL31" s="8">
        <f t="shared" si="2"/>
        <v>4.6285714285714281</v>
      </c>
      <c r="AM31" s="8">
        <f t="shared" si="3"/>
        <v>1.0359909801365927</v>
      </c>
    </row>
    <row r="32" spans="1:39">
      <c r="AK32" s="8" t="s">
        <v>44</v>
      </c>
      <c r="AL32" s="22">
        <f>AVERAGE(AL22:AL31)</f>
        <v>5.0965714285714281</v>
      </c>
    </row>
    <row r="33" spans="1:39">
      <c r="AK33" s="8" t="s">
        <v>39</v>
      </c>
      <c r="AL33" s="22">
        <f>STDEV(AL22:AL31)</f>
        <v>0.61443084295221995</v>
      </c>
    </row>
    <row r="35" spans="1:39">
      <c r="A35" s="22" t="s">
        <v>130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</row>
    <row r="36" spans="1:39">
      <c r="A36" s="22" t="s">
        <v>131</v>
      </c>
      <c r="B36" s="173" t="s">
        <v>132</v>
      </c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73"/>
      <c r="P36" s="173"/>
      <c r="Q36" s="173"/>
      <c r="R36" s="173"/>
      <c r="S36" s="173"/>
      <c r="T36" s="173"/>
      <c r="U36" s="173"/>
      <c r="V36" s="173"/>
      <c r="W36" s="173"/>
      <c r="X36" s="173"/>
      <c r="Y36" s="173"/>
      <c r="Z36" s="173"/>
      <c r="AA36" s="173"/>
      <c r="AB36" s="173"/>
      <c r="AC36" s="173"/>
      <c r="AD36" s="173"/>
      <c r="AE36" s="173"/>
      <c r="AF36" s="173"/>
      <c r="AG36" s="173"/>
      <c r="AH36" s="173"/>
      <c r="AI36" s="173"/>
      <c r="AJ36" s="173"/>
      <c r="AL36" s="22" t="s">
        <v>133</v>
      </c>
      <c r="AM36" s="22" t="s">
        <v>39</v>
      </c>
    </row>
    <row r="37" spans="1:39">
      <c r="A37" s="22" t="s">
        <v>134</v>
      </c>
      <c r="B37" s="22">
        <v>1</v>
      </c>
      <c r="C37" s="22">
        <v>2</v>
      </c>
      <c r="D37" s="22">
        <v>3</v>
      </c>
      <c r="E37" s="22">
        <v>4</v>
      </c>
      <c r="F37" s="22">
        <v>5</v>
      </c>
      <c r="G37" s="22">
        <v>6</v>
      </c>
      <c r="H37" s="22">
        <v>7</v>
      </c>
      <c r="I37" s="22">
        <v>8</v>
      </c>
      <c r="J37" s="22">
        <v>9</v>
      </c>
      <c r="K37" s="22">
        <v>10</v>
      </c>
      <c r="L37" s="22">
        <v>11</v>
      </c>
      <c r="M37" s="22">
        <v>12</v>
      </c>
      <c r="N37" s="22">
        <v>13</v>
      </c>
      <c r="O37" s="22">
        <v>14</v>
      </c>
      <c r="P37" s="22">
        <v>15</v>
      </c>
      <c r="Q37" s="22">
        <v>16</v>
      </c>
      <c r="R37" s="22">
        <v>17</v>
      </c>
      <c r="S37" s="22">
        <v>18</v>
      </c>
      <c r="T37" s="22">
        <v>19</v>
      </c>
      <c r="U37" s="22">
        <v>20</v>
      </c>
      <c r="V37" s="22">
        <v>21</v>
      </c>
      <c r="W37" s="22">
        <v>22</v>
      </c>
      <c r="X37" s="22">
        <v>23</v>
      </c>
      <c r="Y37" s="22">
        <v>24</v>
      </c>
      <c r="Z37" s="22">
        <v>25</v>
      </c>
      <c r="AA37" s="22">
        <v>26</v>
      </c>
      <c r="AB37" s="22">
        <v>27</v>
      </c>
      <c r="AC37" s="22">
        <v>28</v>
      </c>
      <c r="AD37" s="22">
        <v>29</v>
      </c>
      <c r="AE37" s="22">
        <v>30</v>
      </c>
      <c r="AF37" s="22">
        <v>31</v>
      </c>
      <c r="AG37" s="22">
        <v>32</v>
      </c>
      <c r="AH37" s="22">
        <v>33</v>
      </c>
      <c r="AI37" s="22">
        <v>34</v>
      </c>
      <c r="AJ37" s="22">
        <v>35</v>
      </c>
      <c r="AK37" s="22"/>
      <c r="AL37" s="22"/>
      <c r="AM37" s="22"/>
    </row>
    <row r="38" spans="1:39">
      <c r="A38" s="22">
        <v>1</v>
      </c>
      <c r="B38" s="8">
        <v>5.3</v>
      </c>
      <c r="C38" s="8">
        <v>3.6</v>
      </c>
      <c r="D38" s="8">
        <v>3.6</v>
      </c>
      <c r="E38" s="8">
        <v>4.3</v>
      </c>
      <c r="F38" s="8">
        <v>4.5999999999999996</v>
      </c>
      <c r="G38" s="8">
        <v>5.3</v>
      </c>
      <c r="H38" s="8">
        <v>3.5</v>
      </c>
      <c r="I38" s="8">
        <v>4.5</v>
      </c>
      <c r="J38" s="8">
        <v>2.1</v>
      </c>
      <c r="K38" s="8">
        <v>1.5</v>
      </c>
      <c r="L38" s="8">
        <v>2.5</v>
      </c>
      <c r="M38" s="8">
        <v>1.4</v>
      </c>
      <c r="N38" s="8">
        <v>2.1</v>
      </c>
      <c r="O38" s="8">
        <v>2.7</v>
      </c>
      <c r="P38" s="8">
        <v>4.3</v>
      </c>
      <c r="Q38" s="8">
        <v>4.7</v>
      </c>
      <c r="R38" s="8">
        <v>3.5</v>
      </c>
      <c r="S38" s="8">
        <v>2.4</v>
      </c>
      <c r="T38" s="8">
        <v>2.5</v>
      </c>
      <c r="U38" s="8">
        <v>2.1</v>
      </c>
      <c r="V38" s="8">
        <v>5.3</v>
      </c>
      <c r="W38" s="8">
        <v>4.3</v>
      </c>
      <c r="X38" s="8">
        <v>2.4</v>
      </c>
      <c r="Y38" s="8">
        <v>5.3</v>
      </c>
      <c r="Z38" s="8">
        <v>3.4</v>
      </c>
      <c r="AA38" s="8">
        <v>2.4</v>
      </c>
      <c r="AB38" s="8">
        <v>4.2</v>
      </c>
      <c r="AC38" s="8">
        <v>2.4</v>
      </c>
      <c r="AD38" s="8">
        <v>2.5</v>
      </c>
      <c r="AE38" s="8">
        <v>4.3</v>
      </c>
      <c r="AF38" s="8">
        <v>4.3</v>
      </c>
      <c r="AG38" s="8">
        <v>5.6</v>
      </c>
      <c r="AH38" s="8">
        <v>3.4</v>
      </c>
      <c r="AI38" s="8">
        <v>3.4</v>
      </c>
      <c r="AJ38" s="8">
        <v>4.3</v>
      </c>
      <c r="AL38" s="8">
        <f>AVERAGE(C38:AJ38)</f>
        <v>3.4911764705882358</v>
      </c>
      <c r="AM38" s="8">
        <f>STDEV(C38:AJ38)</f>
        <v>1.1668054411989186</v>
      </c>
    </row>
    <row r="39" spans="1:39">
      <c r="A39" s="22">
        <v>2</v>
      </c>
      <c r="B39" s="8">
        <v>3.5</v>
      </c>
      <c r="C39" s="8">
        <v>3.6</v>
      </c>
      <c r="D39" s="8">
        <v>4.5999999999999996</v>
      </c>
      <c r="E39" s="8">
        <v>4.5999999999999996</v>
      </c>
      <c r="F39" s="8">
        <v>4.5999999999999996</v>
      </c>
      <c r="G39" s="8">
        <v>3.5</v>
      </c>
      <c r="H39" s="8">
        <v>3.5</v>
      </c>
      <c r="I39" s="8">
        <v>4.5999999999999996</v>
      </c>
      <c r="J39" s="8">
        <v>5.2</v>
      </c>
      <c r="K39" s="8">
        <v>3.5</v>
      </c>
      <c r="L39" s="8">
        <v>2.4</v>
      </c>
      <c r="M39" s="8">
        <v>2.6</v>
      </c>
      <c r="N39" s="8">
        <v>4.3</v>
      </c>
      <c r="O39" s="8">
        <v>1.3</v>
      </c>
      <c r="P39" s="8">
        <v>1.6</v>
      </c>
      <c r="Q39" s="8">
        <v>4.3</v>
      </c>
      <c r="R39" s="8">
        <v>2.2999999999999998</v>
      </c>
      <c r="S39" s="8">
        <v>2.1</v>
      </c>
      <c r="T39" s="8">
        <v>2.5</v>
      </c>
      <c r="U39" s="8">
        <v>1.5</v>
      </c>
      <c r="V39" s="8">
        <v>2.2999999999999998</v>
      </c>
      <c r="W39" s="8">
        <v>2.5</v>
      </c>
      <c r="X39" s="8">
        <v>2.4</v>
      </c>
      <c r="Y39" s="8">
        <v>2.4</v>
      </c>
      <c r="Z39" s="8">
        <v>2.4</v>
      </c>
      <c r="AA39" s="8">
        <v>1.5</v>
      </c>
      <c r="AB39" s="8">
        <v>2.5</v>
      </c>
      <c r="AC39" s="8">
        <v>2.6</v>
      </c>
      <c r="AD39" s="8">
        <v>2.4</v>
      </c>
      <c r="AE39" s="8">
        <v>1.5</v>
      </c>
      <c r="AF39" s="8">
        <v>2.5</v>
      </c>
      <c r="AG39" s="8">
        <v>2.7</v>
      </c>
      <c r="AH39" s="8">
        <v>2.2000000000000002</v>
      </c>
      <c r="AI39" s="8">
        <v>1.6</v>
      </c>
      <c r="AJ39" s="8">
        <v>2.6</v>
      </c>
      <c r="AL39" s="8">
        <f t="shared" ref="AL39:AL47" si="4">AVERAGE(C39:AJ39)</f>
        <v>2.8441176470588236</v>
      </c>
      <c r="AM39" s="8">
        <f t="shared" ref="AM39:AM47" si="5">STDEV(C39:AJ39)</f>
        <v>1.0745516828301378</v>
      </c>
    </row>
    <row r="40" spans="1:39">
      <c r="A40" s="22">
        <v>3</v>
      </c>
      <c r="B40" s="8">
        <v>1.3</v>
      </c>
      <c r="C40" s="8">
        <v>4.0999999999999996</v>
      </c>
      <c r="D40" s="8">
        <v>1.5</v>
      </c>
      <c r="E40" s="8">
        <v>2.5</v>
      </c>
      <c r="F40" s="8">
        <v>2.6</v>
      </c>
      <c r="G40" s="8">
        <v>3.3</v>
      </c>
      <c r="H40" s="8">
        <v>1.7</v>
      </c>
      <c r="I40" s="8">
        <v>1.6</v>
      </c>
      <c r="J40" s="8">
        <v>2.6</v>
      </c>
      <c r="K40" s="8">
        <v>1.8</v>
      </c>
      <c r="L40" s="8">
        <v>3.1</v>
      </c>
      <c r="M40" s="8">
        <v>3.7</v>
      </c>
      <c r="N40" s="8">
        <v>3.7</v>
      </c>
      <c r="O40" s="8">
        <v>2.2000000000000002</v>
      </c>
      <c r="P40" s="8">
        <v>2.8</v>
      </c>
      <c r="Q40" s="8">
        <v>2.7</v>
      </c>
      <c r="R40" s="8">
        <v>2.5</v>
      </c>
      <c r="S40" s="8">
        <v>2.9</v>
      </c>
      <c r="T40" s="8">
        <v>2.7</v>
      </c>
      <c r="U40" s="8">
        <v>2.6</v>
      </c>
      <c r="V40" s="8">
        <v>3.7</v>
      </c>
      <c r="W40" s="8">
        <v>3.1</v>
      </c>
      <c r="X40" s="8">
        <v>2.8</v>
      </c>
      <c r="Y40" s="8">
        <v>2.7</v>
      </c>
      <c r="Z40" s="8">
        <v>3.5</v>
      </c>
      <c r="AA40" s="8">
        <v>2.5</v>
      </c>
      <c r="AB40" s="8">
        <v>3.7</v>
      </c>
      <c r="AC40" s="8">
        <v>4.2</v>
      </c>
      <c r="AD40" s="8">
        <v>0.3</v>
      </c>
      <c r="AE40" s="8">
        <v>3.7</v>
      </c>
      <c r="AF40" s="8">
        <v>2.5</v>
      </c>
      <c r="AG40" s="8">
        <v>2.2000000000000002</v>
      </c>
      <c r="AH40" s="8">
        <v>3.8</v>
      </c>
      <c r="AI40" s="8">
        <v>3.7</v>
      </c>
      <c r="AJ40" s="8">
        <v>3.3</v>
      </c>
      <c r="AL40" s="8">
        <f t="shared" si="4"/>
        <v>2.8323529411764707</v>
      </c>
      <c r="AM40" s="8">
        <f t="shared" si="5"/>
        <v>0.84341319117719071</v>
      </c>
    </row>
    <row r="41" spans="1:39">
      <c r="A41" s="22">
        <v>4</v>
      </c>
      <c r="B41" s="8">
        <v>2.7</v>
      </c>
      <c r="C41" s="8">
        <v>2.56</v>
      </c>
      <c r="D41" s="8">
        <v>2.8</v>
      </c>
      <c r="E41" s="8">
        <v>0.8</v>
      </c>
      <c r="F41" s="8">
        <v>2.8</v>
      </c>
      <c r="G41" s="8">
        <v>1.6</v>
      </c>
      <c r="H41" s="8">
        <v>2.9</v>
      </c>
      <c r="I41" s="8">
        <v>4.0999999999999996</v>
      </c>
      <c r="J41" s="8">
        <v>2.4</v>
      </c>
      <c r="K41" s="8">
        <v>2.6</v>
      </c>
      <c r="L41" s="8">
        <v>1.8</v>
      </c>
      <c r="M41" s="8">
        <v>2.7</v>
      </c>
      <c r="N41" s="8">
        <v>4.0999999999999996</v>
      </c>
      <c r="O41" s="8">
        <v>4.9000000000000004</v>
      </c>
      <c r="P41" s="8">
        <v>4.0999999999999996</v>
      </c>
      <c r="Q41" s="8">
        <v>3.2</v>
      </c>
      <c r="R41" s="8">
        <v>1.3</v>
      </c>
      <c r="S41" s="8">
        <v>3.1</v>
      </c>
      <c r="T41" s="8">
        <v>3.8</v>
      </c>
      <c r="U41" s="8">
        <v>3.6</v>
      </c>
      <c r="V41" s="8">
        <v>2.2999999999999998</v>
      </c>
      <c r="W41" s="8">
        <v>2.7</v>
      </c>
      <c r="X41" s="8">
        <v>4.7</v>
      </c>
      <c r="Y41" s="8">
        <v>0.3</v>
      </c>
      <c r="Z41" s="8">
        <v>5.3</v>
      </c>
      <c r="AA41" s="8">
        <v>1.6</v>
      </c>
      <c r="AB41" s="8">
        <v>2.6</v>
      </c>
      <c r="AC41" s="8">
        <v>3.7</v>
      </c>
      <c r="AD41" s="8">
        <v>4.0999999999999996</v>
      </c>
      <c r="AE41" s="8">
        <v>2.5</v>
      </c>
      <c r="AF41" s="8">
        <v>3.5</v>
      </c>
      <c r="AG41" s="8">
        <v>4.4000000000000004</v>
      </c>
      <c r="AH41" s="8">
        <v>1.4</v>
      </c>
      <c r="AI41" s="8">
        <v>3.6</v>
      </c>
      <c r="AJ41" s="8">
        <v>4.0999999999999996</v>
      </c>
      <c r="AL41" s="8">
        <f t="shared" si="4"/>
        <v>2.998823529411764</v>
      </c>
      <c r="AM41" s="8">
        <f t="shared" si="5"/>
        <v>1.1905378583467496</v>
      </c>
    </row>
    <row r="42" spans="1:39">
      <c r="A42" s="22">
        <v>5</v>
      </c>
      <c r="B42" s="8">
        <v>1.6</v>
      </c>
      <c r="C42" s="8">
        <v>2</v>
      </c>
      <c r="D42" s="8">
        <v>5.2</v>
      </c>
      <c r="E42" s="8">
        <v>1.6</v>
      </c>
      <c r="F42" s="8">
        <v>3.6</v>
      </c>
      <c r="G42" s="8">
        <v>0.5</v>
      </c>
      <c r="H42" s="8">
        <v>4.5999999999999996</v>
      </c>
      <c r="I42" s="8">
        <v>2.2999999999999998</v>
      </c>
      <c r="J42" s="8">
        <v>6</v>
      </c>
      <c r="K42" s="8">
        <v>3.2</v>
      </c>
      <c r="L42" s="8">
        <v>3.7</v>
      </c>
      <c r="M42" s="8">
        <v>2.6</v>
      </c>
      <c r="N42" s="8">
        <v>2.6</v>
      </c>
      <c r="O42" s="8">
        <v>4.5999999999999996</v>
      </c>
      <c r="P42" s="8">
        <v>2.5</v>
      </c>
      <c r="Q42" s="8">
        <v>2.1</v>
      </c>
      <c r="R42" s="8">
        <v>2.6</v>
      </c>
      <c r="S42" s="8">
        <v>1.6</v>
      </c>
      <c r="T42" s="8">
        <v>5.2</v>
      </c>
      <c r="U42" s="8">
        <v>1.5</v>
      </c>
      <c r="V42" s="8">
        <v>7.4</v>
      </c>
      <c r="W42" s="8">
        <v>3.6</v>
      </c>
      <c r="X42" s="8">
        <v>2.4</v>
      </c>
      <c r="Y42" s="8">
        <v>1.4</v>
      </c>
      <c r="Z42" s="8">
        <v>3.6</v>
      </c>
      <c r="AA42" s="8">
        <v>4.2</v>
      </c>
      <c r="AB42" s="8">
        <v>5.2</v>
      </c>
      <c r="AC42" s="8">
        <v>3.5</v>
      </c>
      <c r="AD42" s="8">
        <v>3.6</v>
      </c>
      <c r="AE42" s="8">
        <v>5.2</v>
      </c>
      <c r="AF42" s="8">
        <v>2.5</v>
      </c>
      <c r="AG42" s="8">
        <v>5.2</v>
      </c>
      <c r="AH42" s="8">
        <v>2.5</v>
      </c>
      <c r="AI42" s="8">
        <v>3.6</v>
      </c>
      <c r="AJ42" s="8">
        <v>5.2</v>
      </c>
      <c r="AL42" s="8">
        <f t="shared" si="4"/>
        <v>3.4441176470588242</v>
      </c>
      <c r="AM42" s="8">
        <f t="shared" si="5"/>
        <v>1.5443329787892592</v>
      </c>
    </row>
    <row r="43" spans="1:39">
      <c r="A43" s="22">
        <v>6</v>
      </c>
      <c r="B43" s="8">
        <v>2.6</v>
      </c>
      <c r="C43" s="8">
        <v>6.4</v>
      </c>
      <c r="D43" s="8">
        <v>3.6</v>
      </c>
      <c r="E43" s="8">
        <v>2.7</v>
      </c>
      <c r="F43" s="8">
        <v>3.2</v>
      </c>
      <c r="G43" s="8">
        <v>3.5</v>
      </c>
      <c r="H43" s="8">
        <v>2.7</v>
      </c>
      <c r="I43" s="8">
        <v>3.3</v>
      </c>
      <c r="J43" s="8">
        <v>2.7</v>
      </c>
      <c r="K43" s="8">
        <v>4.0999999999999996</v>
      </c>
      <c r="L43" s="8">
        <v>2.6</v>
      </c>
      <c r="M43" s="8">
        <v>3.5</v>
      </c>
      <c r="N43" s="8">
        <v>2.6</v>
      </c>
      <c r="O43" s="8">
        <v>3.1</v>
      </c>
      <c r="P43" s="8">
        <v>6.2</v>
      </c>
      <c r="Q43" s="8">
        <v>1.5</v>
      </c>
      <c r="R43" s="8">
        <v>4.0999999999999996</v>
      </c>
      <c r="S43" s="8">
        <v>3.5</v>
      </c>
      <c r="T43" s="8">
        <v>2.6</v>
      </c>
      <c r="U43" s="8">
        <v>4.0999999999999996</v>
      </c>
      <c r="V43" s="8">
        <v>2.4</v>
      </c>
      <c r="W43" s="8">
        <v>4.3</v>
      </c>
      <c r="X43" s="8">
        <v>3.1</v>
      </c>
      <c r="Y43" s="8">
        <v>2.6</v>
      </c>
      <c r="Z43" s="8">
        <v>3.7</v>
      </c>
      <c r="AA43" s="8">
        <v>3.1</v>
      </c>
      <c r="AB43" s="8">
        <v>3.3</v>
      </c>
      <c r="AC43" s="8">
        <v>5.0999999999999996</v>
      </c>
      <c r="AD43" s="8">
        <v>3.6</v>
      </c>
      <c r="AE43" s="8">
        <v>1.5</v>
      </c>
      <c r="AF43" s="8">
        <v>3.6</v>
      </c>
      <c r="AG43" s="8">
        <v>5.3</v>
      </c>
      <c r="AH43" s="8">
        <v>2.5</v>
      </c>
      <c r="AI43" s="8">
        <v>2.7</v>
      </c>
      <c r="AJ43" s="8">
        <v>4.2</v>
      </c>
      <c r="AL43" s="8">
        <f t="shared" si="4"/>
        <v>3.4411764705882346</v>
      </c>
      <c r="AM43" s="8">
        <f t="shared" si="5"/>
        <v>1.1053910995959577</v>
      </c>
    </row>
    <row r="44" spans="1:39">
      <c r="A44" s="22">
        <v>7</v>
      </c>
      <c r="B44" s="8">
        <v>4.2</v>
      </c>
      <c r="C44" s="8">
        <v>5.7</v>
      </c>
      <c r="D44" s="8">
        <v>1.3</v>
      </c>
      <c r="E44" s="8">
        <v>3.2</v>
      </c>
      <c r="F44" s="8">
        <v>1.3</v>
      </c>
      <c r="G44" s="8">
        <v>3.2</v>
      </c>
      <c r="H44" s="8">
        <v>3.2</v>
      </c>
      <c r="I44" s="8">
        <v>4.0999999999999996</v>
      </c>
      <c r="J44" s="8">
        <v>2.4</v>
      </c>
      <c r="K44" s="8">
        <v>4.2</v>
      </c>
      <c r="L44" s="8">
        <v>1.4</v>
      </c>
      <c r="M44" s="8">
        <v>2.6</v>
      </c>
      <c r="N44" s="8">
        <v>2.2999999999999998</v>
      </c>
      <c r="O44" s="8">
        <v>1.4</v>
      </c>
      <c r="P44" s="8">
        <v>2.6</v>
      </c>
      <c r="Q44" s="8">
        <v>2.6</v>
      </c>
      <c r="R44" s="8">
        <v>4.0999999999999996</v>
      </c>
      <c r="S44" s="8">
        <v>3.7</v>
      </c>
      <c r="T44" s="8">
        <v>3.1</v>
      </c>
      <c r="U44" s="8">
        <v>2.6</v>
      </c>
      <c r="V44" s="8">
        <v>3.1</v>
      </c>
      <c r="W44" s="8">
        <v>4.7</v>
      </c>
      <c r="X44" s="8">
        <v>1.3</v>
      </c>
      <c r="Y44" s="8">
        <v>3.1</v>
      </c>
      <c r="Z44" s="8">
        <v>2.6</v>
      </c>
      <c r="AA44" s="8">
        <v>2.4</v>
      </c>
      <c r="AB44" s="8">
        <v>2.5</v>
      </c>
      <c r="AC44" s="8">
        <v>2.1</v>
      </c>
      <c r="AD44" s="8">
        <v>4.2</v>
      </c>
      <c r="AE44" s="8">
        <v>1.4</v>
      </c>
      <c r="AF44" s="8">
        <v>2.4</v>
      </c>
      <c r="AG44" s="8">
        <v>2.1</v>
      </c>
      <c r="AH44" s="8">
        <v>2.2000000000000002</v>
      </c>
      <c r="AI44" s="8">
        <v>2.6</v>
      </c>
      <c r="AJ44" s="8">
        <v>2.1</v>
      </c>
      <c r="AL44" s="8">
        <f t="shared" si="4"/>
        <v>2.7588235294117647</v>
      </c>
      <c r="AM44" s="8">
        <f t="shared" si="5"/>
        <v>1.0494205174570841</v>
      </c>
    </row>
    <row r="45" spans="1:39">
      <c r="A45" s="22">
        <v>8</v>
      </c>
      <c r="B45" s="8">
        <v>2.4</v>
      </c>
      <c r="C45" s="8">
        <v>3.1</v>
      </c>
      <c r="D45" s="8">
        <v>2.4</v>
      </c>
      <c r="E45" s="8">
        <v>2.5</v>
      </c>
      <c r="F45" s="8">
        <v>2.6</v>
      </c>
      <c r="G45" s="8">
        <v>3.3</v>
      </c>
      <c r="H45" s="8">
        <v>2.1</v>
      </c>
      <c r="I45" s="8">
        <v>2.6</v>
      </c>
      <c r="J45" s="8">
        <v>3.7</v>
      </c>
      <c r="K45" s="8">
        <v>3.5</v>
      </c>
      <c r="L45" s="8">
        <v>3.1</v>
      </c>
      <c r="M45" s="8">
        <v>4.7</v>
      </c>
      <c r="N45" s="8">
        <v>3.6</v>
      </c>
      <c r="O45" s="8">
        <v>3.1</v>
      </c>
      <c r="P45" s="8">
        <v>3.1</v>
      </c>
      <c r="Q45" s="8">
        <v>2.1</v>
      </c>
      <c r="R45" s="8">
        <v>2.6</v>
      </c>
      <c r="S45" s="8">
        <v>2.1</v>
      </c>
      <c r="T45" s="8">
        <v>3.7</v>
      </c>
      <c r="U45" s="8">
        <v>3.2</v>
      </c>
      <c r="V45" s="8">
        <v>5.2</v>
      </c>
      <c r="W45" s="8">
        <v>4.5999999999999996</v>
      </c>
      <c r="X45" s="8">
        <v>2.6</v>
      </c>
      <c r="Y45" s="8">
        <v>4.2</v>
      </c>
      <c r="Z45" s="8">
        <v>5.8</v>
      </c>
      <c r="AA45" s="8">
        <v>5.8</v>
      </c>
      <c r="AB45" s="8">
        <v>5.2</v>
      </c>
      <c r="AC45" s="8">
        <v>3.6</v>
      </c>
      <c r="AD45" s="8">
        <v>3.6</v>
      </c>
      <c r="AE45" s="8">
        <v>4.5999999999999996</v>
      </c>
      <c r="AF45" s="8">
        <v>4</v>
      </c>
      <c r="AG45" s="8">
        <v>5.7</v>
      </c>
      <c r="AH45" s="8">
        <v>2</v>
      </c>
      <c r="AI45" s="8">
        <v>4.5</v>
      </c>
      <c r="AJ45" s="8">
        <v>6</v>
      </c>
      <c r="AL45" s="8">
        <f t="shared" si="4"/>
        <v>3.6617647058823528</v>
      </c>
      <c r="AM45" s="8">
        <f t="shared" si="5"/>
        <v>1.1885857921846636</v>
      </c>
    </row>
    <row r="46" spans="1:39">
      <c r="A46" s="22">
        <v>9</v>
      </c>
      <c r="B46" s="8">
        <v>3.4</v>
      </c>
      <c r="C46" s="8">
        <v>2.1</v>
      </c>
      <c r="D46" s="8">
        <v>2.1</v>
      </c>
      <c r="E46" s="8">
        <v>2.7</v>
      </c>
      <c r="F46" s="8">
        <v>1.6</v>
      </c>
      <c r="G46" s="8">
        <v>1.8</v>
      </c>
      <c r="H46" s="8">
        <v>2.5</v>
      </c>
      <c r="I46" s="8">
        <v>2.9</v>
      </c>
      <c r="J46" s="8">
        <v>3.1</v>
      </c>
      <c r="K46" s="8">
        <v>2.7</v>
      </c>
      <c r="L46" s="8">
        <v>2.5</v>
      </c>
      <c r="M46" s="8">
        <v>3.3</v>
      </c>
      <c r="N46" s="8">
        <v>2.7</v>
      </c>
      <c r="O46" s="8">
        <v>3.7</v>
      </c>
      <c r="P46" s="8">
        <v>2.1</v>
      </c>
      <c r="Q46" s="8">
        <v>2.6</v>
      </c>
      <c r="R46" s="8">
        <v>2.6</v>
      </c>
      <c r="S46" s="8">
        <v>3.7</v>
      </c>
      <c r="T46" s="8">
        <v>2.5</v>
      </c>
      <c r="U46" s="8">
        <v>2.6</v>
      </c>
      <c r="V46" s="8">
        <v>2.7</v>
      </c>
      <c r="W46" s="8">
        <v>2.1</v>
      </c>
      <c r="X46" s="8">
        <v>1.7</v>
      </c>
      <c r="Y46" s="8">
        <v>4</v>
      </c>
      <c r="Z46" s="8">
        <v>5.2</v>
      </c>
      <c r="AA46" s="8">
        <v>2.5</v>
      </c>
      <c r="AB46" s="8">
        <v>2.6</v>
      </c>
      <c r="AC46" s="8">
        <v>2</v>
      </c>
      <c r="AD46" s="8">
        <v>5.2</v>
      </c>
      <c r="AE46" s="8">
        <v>2.5</v>
      </c>
      <c r="AF46" s="8">
        <v>1.5</v>
      </c>
      <c r="AG46" s="8">
        <v>3.1</v>
      </c>
      <c r="AH46" s="8">
        <v>2.7</v>
      </c>
      <c r="AI46" s="8">
        <v>3</v>
      </c>
      <c r="AJ46" s="8">
        <v>1.4</v>
      </c>
      <c r="AL46" s="8">
        <f t="shared" si="4"/>
        <v>2.7058823529411771</v>
      </c>
      <c r="AM46" s="8">
        <f t="shared" si="5"/>
        <v>0.87592070226067709</v>
      </c>
    </row>
    <row r="47" spans="1:39">
      <c r="A47" s="22">
        <v>10</v>
      </c>
      <c r="B47" s="8">
        <v>2.6</v>
      </c>
      <c r="C47" s="8">
        <v>2.6</v>
      </c>
      <c r="D47" s="8">
        <v>2.2000000000000002</v>
      </c>
      <c r="E47" s="8">
        <v>1.6</v>
      </c>
      <c r="F47" s="8">
        <v>2.7</v>
      </c>
      <c r="G47" s="8">
        <v>3.7</v>
      </c>
      <c r="H47" s="8">
        <v>2.2999999999999998</v>
      </c>
      <c r="I47" s="8">
        <v>1.7</v>
      </c>
      <c r="J47" s="8">
        <v>3.2</v>
      </c>
      <c r="K47" s="8">
        <v>2.6</v>
      </c>
      <c r="L47" s="8">
        <v>7.2</v>
      </c>
      <c r="M47" s="8">
        <v>3.6</v>
      </c>
      <c r="N47" s="8">
        <v>5.0999999999999996</v>
      </c>
      <c r="O47" s="8">
        <v>2.7</v>
      </c>
      <c r="P47" s="8">
        <v>3.7</v>
      </c>
      <c r="Q47" s="8">
        <v>3.6</v>
      </c>
      <c r="R47" s="8">
        <v>3.3</v>
      </c>
      <c r="S47" s="8">
        <v>1.7</v>
      </c>
      <c r="T47" s="8">
        <v>4.3</v>
      </c>
      <c r="U47" s="8">
        <v>3.6</v>
      </c>
      <c r="V47" s="8">
        <v>2.7</v>
      </c>
      <c r="W47" s="8">
        <v>3.2</v>
      </c>
      <c r="X47" s="8">
        <v>3.7</v>
      </c>
      <c r="Y47" s="8">
        <v>4.2</v>
      </c>
      <c r="Z47" s="8">
        <v>2.5</v>
      </c>
      <c r="AA47" s="8">
        <v>6.4</v>
      </c>
      <c r="AB47" s="8">
        <v>2.8</v>
      </c>
      <c r="AC47" s="8">
        <v>3.5</v>
      </c>
      <c r="AD47" s="8">
        <v>2.5</v>
      </c>
      <c r="AE47" s="8">
        <v>3.6</v>
      </c>
      <c r="AF47" s="8">
        <v>4.2</v>
      </c>
      <c r="AG47" s="8">
        <v>1.6</v>
      </c>
      <c r="AH47" s="8">
        <v>3.6</v>
      </c>
      <c r="AI47" s="8">
        <v>3.5</v>
      </c>
      <c r="AJ47" s="8">
        <v>2.4</v>
      </c>
      <c r="AL47" s="8">
        <f t="shared" si="4"/>
        <v>3.2882352941176474</v>
      </c>
      <c r="AM47" s="8">
        <f t="shared" si="5"/>
        <v>1.2212176501425132</v>
      </c>
    </row>
    <row r="48" spans="1:39">
      <c r="AK48" s="8" t="s">
        <v>44</v>
      </c>
      <c r="AL48" s="8">
        <f>AVERAGE(AL38:AL47)</f>
        <v>3.1466470588235294</v>
      </c>
    </row>
    <row r="49" spans="1:39">
      <c r="AK49" s="8" t="s">
        <v>137</v>
      </c>
      <c r="AL49" s="8">
        <f>STDEV(AL38:AL47)</f>
        <v>0.35530386191892394</v>
      </c>
    </row>
    <row r="52" spans="1:39">
      <c r="A52" s="8" t="s">
        <v>138</v>
      </c>
      <c r="B52" s="173" t="s">
        <v>136</v>
      </c>
      <c r="C52" s="173"/>
      <c r="D52" s="173"/>
      <c r="E52" s="173"/>
      <c r="F52" s="173"/>
      <c r="G52" s="173"/>
      <c r="H52" s="173"/>
      <c r="I52" s="173"/>
      <c r="J52" s="173"/>
      <c r="K52" s="173"/>
      <c r="L52" s="173"/>
      <c r="M52" s="173"/>
      <c r="N52" s="173"/>
      <c r="O52" s="173"/>
      <c r="P52" s="173"/>
      <c r="Q52" s="173"/>
      <c r="R52" s="173"/>
      <c r="S52" s="173"/>
      <c r="T52" s="173"/>
      <c r="U52" s="173"/>
      <c r="V52" s="173"/>
      <c r="W52" s="173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73"/>
      <c r="AJ52" s="173"/>
      <c r="AL52" s="8" t="s">
        <v>44</v>
      </c>
      <c r="AM52" s="8" t="s">
        <v>39</v>
      </c>
    </row>
    <row r="53" spans="1:39">
      <c r="A53" s="22" t="s">
        <v>134</v>
      </c>
      <c r="B53" s="22">
        <v>1</v>
      </c>
      <c r="C53" s="22">
        <v>2</v>
      </c>
      <c r="D53" s="22">
        <v>3</v>
      </c>
      <c r="E53" s="22">
        <v>4</v>
      </c>
      <c r="F53" s="22">
        <v>5</v>
      </c>
      <c r="G53" s="22">
        <v>6</v>
      </c>
      <c r="H53" s="22">
        <v>7</v>
      </c>
      <c r="I53" s="22">
        <v>8</v>
      </c>
      <c r="J53" s="22">
        <v>9</v>
      </c>
      <c r="K53" s="22">
        <v>10</v>
      </c>
      <c r="L53" s="22">
        <v>11</v>
      </c>
      <c r="M53" s="22">
        <v>12</v>
      </c>
      <c r="N53" s="22">
        <v>13</v>
      </c>
      <c r="O53" s="22">
        <v>14</v>
      </c>
      <c r="P53" s="22">
        <v>15</v>
      </c>
      <c r="Q53" s="22">
        <v>16</v>
      </c>
      <c r="R53" s="22">
        <v>17</v>
      </c>
      <c r="S53" s="22">
        <v>18</v>
      </c>
      <c r="T53" s="22">
        <v>19</v>
      </c>
      <c r="U53" s="22">
        <v>20</v>
      </c>
      <c r="V53" s="22">
        <v>21</v>
      </c>
      <c r="W53" s="22">
        <v>22</v>
      </c>
      <c r="X53" s="22">
        <v>23</v>
      </c>
      <c r="Y53" s="22">
        <v>24</v>
      </c>
      <c r="Z53" s="22">
        <v>25</v>
      </c>
      <c r="AA53" s="22">
        <v>26</v>
      </c>
      <c r="AB53" s="22">
        <v>27</v>
      </c>
      <c r="AC53" s="22">
        <v>28</v>
      </c>
      <c r="AD53" s="22">
        <v>29</v>
      </c>
      <c r="AE53" s="22">
        <v>30</v>
      </c>
      <c r="AF53" s="22">
        <v>31</v>
      </c>
      <c r="AG53" s="22">
        <v>32</v>
      </c>
      <c r="AH53" s="22">
        <v>33</v>
      </c>
      <c r="AI53" s="22">
        <v>34</v>
      </c>
      <c r="AJ53" s="22">
        <v>35</v>
      </c>
    </row>
    <row r="54" spans="1:39">
      <c r="A54" s="22">
        <v>1</v>
      </c>
      <c r="B54" s="8">
        <v>3.2</v>
      </c>
      <c r="C54" s="8">
        <v>3.5</v>
      </c>
      <c r="D54" s="8">
        <v>2.6</v>
      </c>
      <c r="E54" s="8">
        <v>1.9</v>
      </c>
      <c r="F54" s="8">
        <v>1.6</v>
      </c>
      <c r="G54" s="8">
        <v>2.6</v>
      </c>
      <c r="H54" s="8">
        <v>2.9</v>
      </c>
      <c r="I54" s="8">
        <v>2.5</v>
      </c>
      <c r="J54" s="8">
        <v>2.1</v>
      </c>
      <c r="K54" s="8">
        <v>2.6</v>
      </c>
      <c r="L54" s="8">
        <v>2</v>
      </c>
      <c r="M54" s="8">
        <v>2.6</v>
      </c>
      <c r="N54" s="8">
        <v>1.6</v>
      </c>
      <c r="O54" s="8">
        <v>1.6</v>
      </c>
      <c r="P54" s="8">
        <v>2.1</v>
      </c>
      <c r="Q54" s="8">
        <v>2.6</v>
      </c>
      <c r="R54" s="8">
        <v>2.7</v>
      </c>
      <c r="S54" s="8">
        <v>2.1</v>
      </c>
      <c r="T54" s="8">
        <v>2.7</v>
      </c>
      <c r="U54" s="8">
        <v>1.5</v>
      </c>
      <c r="V54" s="8">
        <v>1.4</v>
      </c>
      <c r="W54" s="8">
        <v>1.6</v>
      </c>
      <c r="X54" s="8">
        <v>1.7</v>
      </c>
      <c r="Y54" s="8">
        <v>2.1</v>
      </c>
      <c r="Z54" s="8">
        <v>2.9</v>
      </c>
      <c r="AA54" s="8">
        <v>2.1</v>
      </c>
      <c r="AB54" s="8">
        <v>2.5</v>
      </c>
      <c r="AC54" s="8">
        <v>2.6</v>
      </c>
      <c r="AD54" s="8">
        <v>2.7</v>
      </c>
      <c r="AE54" s="8">
        <v>2.9</v>
      </c>
      <c r="AF54" s="8">
        <v>2.1</v>
      </c>
      <c r="AG54" s="8">
        <v>2.6</v>
      </c>
      <c r="AH54" s="8">
        <v>2.1</v>
      </c>
      <c r="AI54" s="8">
        <v>1.6</v>
      </c>
      <c r="AJ54" s="8">
        <v>1.6</v>
      </c>
      <c r="AL54" s="8">
        <f>AVERAGE(B54:AJ54)</f>
        <v>2.2714285714285714</v>
      </c>
      <c r="AM54" s="8">
        <f>STDEV(B54:AJ54)</f>
        <v>0.53609230360376681</v>
      </c>
    </row>
    <row r="55" spans="1:39">
      <c r="A55" s="22">
        <v>2</v>
      </c>
      <c r="B55" s="8">
        <v>1.6</v>
      </c>
      <c r="C55" s="8">
        <v>1.4</v>
      </c>
      <c r="D55" s="8">
        <v>1.6</v>
      </c>
      <c r="E55" s="8">
        <v>2.4</v>
      </c>
      <c r="F55" s="8">
        <v>2.1</v>
      </c>
      <c r="G55" s="8">
        <v>2.6</v>
      </c>
      <c r="H55" s="8">
        <v>2.4</v>
      </c>
      <c r="I55" s="8">
        <v>2.9</v>
      </c>
      <c r="J55" s="8">
        <v>2.2999999999999998</v>
      </c>
      <c r="K55" s="8">
        <v>2.1</v>
      </c>
      <c r="L55" s="8">
        <v>2.6</v>
      </c>
      <c r="M55" s="8">
        <v>2.7</v>
      </c>
      <c r="N55" s="8">
        <v>2.1</v>
      </c>
      <c r="O55" s="8">
        <v>2.5</v>
      </c>
      <c r="P55" s="8">
        <v>1.5</v>
      </c>
      <c r="Q55" s="8">
        <v>1.7</v>
      </c>
      <c r="R55" s="8">
        <v>1.8</v>
      </c>
      <c r="S55" s="8">
        <v>2.1</v>
      </c>
      <c r="T55" s="8">
        <v>1.6</v>
      </c>
      <c r="U55" s="8">
        <v>2.7</v>
      </c>
      <c r="V55" s="8">
        <v>2.1</v>
      </c>
      <c r="W55" s="8">
        <v>1.4</v>
      </c>
      <c r="X55" s="8">
        <v>1.7</v>
      </c>
      <c r="Y55" s="8">
        <v>1.6</v>
      </c>
      <c r="Z55" s="8">
        <v>1.1000000000000001</v>
      </c>
      <c r="AA55" s="8">
        <v>0.7</v>
      </c>
      <c r="AB55" s="8">
        <v>1.9</v>
      </c>
      <c r="AC55" s="8">
        <v>1.5</v>
      </c>
      <c r="AD55" s="8">
        <v>1.5</v>
      </c>
      <c r="AE55" s="8">
        <v>1.7</v>
      </c>
      <c r="AF55" s="8">
        <v>1.1000000000000001</v>
      </c>
      <c r="AG55" s="8">
        <v>2.4</v>
      </c>
      <c r="AH55" s="8">
        <v>2.4</v>
      </c>
      <c r="AI55" s="8">
        <v>2.6</v>
      </c>
      <c r="AJ55" s="8">
        <v>2.6</v>
      </c>
      <c r="AL55" s="8">
        <f t="shared" ref="AL55:AL63" si="6">AVERAGE(B55:AJ55)</f>
        <v>1.9714285714285718</v>
      </c>
      <c r="AM55" s="8">
        <f t="shared" ref="AM55:AM63" si="7">STDEV(B55:AJ55)</f>
        <v>0.54155083872556953</v>
      </c>
    </row>
    <row r="56" spans="1:39">
      <c r="A56" s="22">
        <v>3</v>
      </c>
      <c r="B56" s="8">
        <v>2.1</v>
      </c>
      <c r="C56" s="8">
        <v>2.5</v>
      </c>
      <c r="D56" s="8">
        <v>2</v>
      </c>
      <c r="E56" s="8">
        <v>2.7</v>
      </c>
      <c r="F56" s="8">
        <v>2.4</v>
      </c>
      <c r="G56" s="8">
        <v>2.1</v>
      </c>
      <c r="H56" s="8">
        <v>2.9</v>
      </c>
      <c r="I56" s="8">
        <v>2.4</v>
      </c>
      <c r="J56" s="8">
        <v>2.6</v>
      </c>
      <c r="K56" s="8">
        <v>2.1</v>
      </c>
      <c r="L56" s="8">
        <v>2.1</v>
      </c>
      <c r="M56" s="8">
        <v>2.2000000000000002</v>
      </c>
      <c r="N56" s="8">
        <v>2.6</v>
      </c>
      <c r="O56" s="8">
        <v>2.4</v>
      </c>
      <c r="P56" s="8">
        <v>2.7</v>
      </c>
      <c r="Q56" s="8">
        <v>1.4</v>
      </c>
      <c r="R56" s="8">
        <v>1.6</v>
      </c>
      <c r="S56" s="8">
        <v>2.6</v>
      </c>
      <c r="T56" s="8">
        <v>2.1</v>
      </c>
      <c r="U56" s="8">
        <v>1.7</v>
      </c>
      <c r="V56" s="8">
        <v>1.4</v>
      </c>
      <c r="W56" s="8">
        <v>2.1</v>
      </c>
      <c r="X56" s="8">
        <v>2.7</v>
      </c>
      <c r="Y56" s="8">
        <v>1.7</v>
      </c>
      <c r="Z56" s="8">
        <v>2.8</v>
      </c>
      <c r="AA56" s="8">
        <v>3.1</v>
      </c>
      <c r="AB56" s="8">
        <v>2.8</v>
      </c>
      <c r="AC56" s="8">
        <v>3.6</v>
      </c>
      <c r="AD56" s="8">
        <v>2.5</v>
      </c>
      <c r="AE56" s="8">
        <v>2.6</v>
      </c>
      <c r="AF56" s="8">
        <v>3.1</v>
      </c>
      <c r="AG56" s="8">
        <v>2.5</v>
      </c>
      <c r="AH56" s="8">
        <v>2.8</v>
      </c>
      <c r="AI56" s="8">
        <v>3.7</v>
      </c>
      <c r="AJ56" s="8">
        <v>4.0999999999999996</v>
      </c>
      <c r="AL56" s="8">
        <f t="shared" si="6"/>
        <v>2.4771428571428569</v>
      </c>
      <c r="AM56" s="8">
        <f t="shared" si="7"/>
        <v>0.60248783941143491</v>
      </c>
    </row>
    <row r="57" spans="1:39">
      <c r="A57" s="22">
        <v>4</v>
      </c>
      <c r="B57" s="8">
        <v>2.5</v>
      </c>
      <c r="C57" s="8">
        <v>1.5</v>
      </c>
      <c r="D57" s="8">
        <v>1.8</v>
      </c>
      <c r="E57" s="8">
        <v>2.4</v>
      </c>
      <c r="F57" s="8">
        <v>2.1</v>
      </c>
      <c r="G57" s="8">
        <v>2.1</v>
      </c>
      <c r="H57" s="8">
        <v>1.7</v>
      </c>
      <c r="I57" s="8">
        <v>1.4</v>
      </c>
      <c r="J57" s="8">
        <v>1.2</v>
      </c>
      <c r="K57" s="8">
        <v>2.5</v>
      </c>
      <c r="L57" s="8">
        <v>2.9</v>
      </c>
      <c r="M57" s="8">
        <v>2.1</v>
      </c>
      <c r="N57" s="8">
        <v>2.5</v>
      </c>
      <c r="O57" s="8">
        <v>1.6</v>
      </c>
      <c r="P57" s="8">
        <v>1.4</v>
      </c>
      <c r="Q57" s="8">
        <v>1.9</v>
      </c>
      <c r="R57" s="8">
        <v>1.1000000000000001</v>
      </c>
      <c r="S57" s="8">
        <v>3.1</v>
      </c>
      <c r="T57" s="8">
        <v>2.7</v>
      </c>
      <c r="U57" s="8">
        <v>2.6</v>
      </c>
      <c r="V57" s="8">
        <v>1.3</v>
      </c>
      <c r="W57" s="8">
        <v>2.5</v>
      </c>
      <c r="X57" s="8">
        <v>2.7</v>
      </c>
      <c r="Y57" s="8">
        <v>2.6</v>
      </c>
      <c r="Z57" s="8">
        <v>2.9</v>
      </c>
      <c r="AA57" s="8">
        <v>2.2999999999999998</v>
      </c>
      <c r="AB57" s="8">
        <v>2.1</v>
      </c>
      <c r="AC57" s="8">
        <v>1.8</v>
      </c>
      <c r="AD57" s="8">
        <v>1.7</v>
      </c>
      <c r="AE57" s="8">
        <v>2.7</v>
      </c>
      <c r="AF57" s="8">
        <v>2.2999999999999998</v>
      </c>
      <c r="AG57" s="8">
        <v>2.6</v>
      </c>
      <c r="AH57" s="8">
        <v>2.7</v>
      </c>
      <c r="AI57" s="8">
        <v>2.1</v>
      </c>
      <c r="AJ57" s="8">
        <v>2.8</v>
      </c>
      <c r="AL57" s="8">
        <f t="shared" si="6"/>
        <v>2.1771428571428566</v>
      </c>
      <c r="AM57" s="8">
        <f t="shared" si="7"/>
        <v>0.54615539389968004</v>
      </c>
    </row>
    <row r="58" spans="1:39">
      <c r="A58" s="22">
        <v>5</v>
      </c>
      <c r="B58" s="8">
        <v>2.6</v>
      </c>
      <c r="C58" s="8">
        <v>2.5</v>
      </c>
      <c r="D58" s="8">
        <v>2.1</v>
      </c>
      <c r="E58" s="8">
        <v>2.9</v>
      </c>
      <c r="F58" s="8">
        <v>2.5</v>
      </c>
      <c r="G58" s="8">
        <v>2.1</v>
      </c>
      <c r="H58" s="8">
        <v>2.4</v>
      </c>
      <c r="I58" s="8">
        <v>2.8</v>
      </c>
      <c r="J58" s="8">
        <v>2.2999999999999998</v>
      </c>
      <c r="K58" s="8">
        <v>3.1</v>
      </c>
      <c r="L58" s="8">
        <v>3.6</v>
      </c>
      <c r="M58" s="8">
        <v>3.2</v>
      </c>
      <c r="N58" s="8">
        <v>2.9</v>
      </c>
      <c r="O58" s="8">
        <v>2.5</v>
      </c>
      <c r="P58" s="8">
        <v>1.5</v>
      </c>
      <c r="Q58" s="8">
        <v>2.1</v>
      </c>
      <c r="R58" s="8">
        <v>2.6</v>
      </c>
      <c r="S58" s="8">
        <v>2.7</v>
      </c>
      <c r="T58" s="8">
        <v>2.4</v>
      </c>
      <c r="U58" s="8">
        <v>2.1</v>
      </c>
      <c r="V58" s="8">
        <v>2.5</v>
      </c>
      <c r="W58" s="8">
        <v>3.1</v>
      </c>
      <c r="X58" s="8">
        <v>2.7</v>
      </c>
      <c r="Y58" s="8">
        <v>2.6</v>
      </c>
      <c r="Z58" s="8">
        <v>2.6</v>
      </c>
      <c r="AA58" s="8">
        <v>1.6</v>
      </c>
      <c r="AB58" s="8">
        <v>2.2999999999999998</v>
      </c>
      <c r="AC58" s="8">
        <v>2.6</v>
      </c>
      <c r="AD58" s="8">
        <v>2.2999999999999998</v>
      </c>
      <c r="AE58" s="8">
        <v>2.6</v>
      </c>
      <c r="AF58" s="8">
        <v>2.1</v>
      </c>
      <c r="AG58" s="8">
        <v>1.1000000000000001</v>
      </c>
      <c r="AH58" s="8">
        <v>1.6</v>
      </c>
      <c r="AI58" s="8">
        <v>1.5</v>
      </c>
      <c r="AJ58" s="8">
        <v>2.5</v>
      </c>
      <c r="AL58" s="8">
        <f t="shared" si="6"/>
        <v>2.4171428571428564</v>
      </c>
      <c r="AM58" s="8">
        <f t="shared" si="7"/>
        <v>0.52158452830588287</v>
      </c>
    </row>
    <row r="59" spans="1:39">
      <c r="A59" s="22">
        <v>6</v>
      </c>
      <c r="B59" s="8">
        <v>2.2999999999999998</v>
      </c>
      <c r="C59" s="8">
        <v>2.1</v>
      </c>
      <c r="D59" s="8">
        <v>2.6</v>
      </c>
      <c r="E59" s="8">
        <v>1.5</v>
      </c>
      <c r="F59" s="8">
        <v>1.3</v>
      </c>
      <c r="G59" s="8">
        <v>2.8</v>
      </c>
      <c r="H59" s="8">
        <v>2.4</v>
      </c>
      <c r="I59" s="8">
        <v>2.1</v>
      </c>
      <c r="J59" s="8">
        <v>1.6</v>
      </c>
      <c r="K59" s="8">
        <v>1.7</v>
      </c>
      <c r="L59" s="8">
        <v>1.3</v>
      </c>
      <c r="M59" s="8">
        <v>1.9</v>
      </c>
      <c r="N59" s="8">
        <v>2.1</v>
      </c>
      <c r="O59" s="8">
        <v>3.2</v>
      </c>
      <c r="P59" s="8">
        <v>2.1</v>
      </c>
      <c r="Q59" s="8">
        <v>2.5</v>
      </c>
      <c r="R59" s="8">
        <v>2.7</v>
      </c>
      <c r="S59" s="8">
        <v>2.2999999999999998</v>
      </c>
      <c r="T59" s="8">
        <v>2.1</v>
      </c>
      <c r="U59" s="8">
        <v>2.6</v>
      </c>
      <c r="V59" s="8">
        <v>2.7</v>
      </c>
      <c r="W59" s="8">
        <v>2.5</v>
      </c>
      <c r="X59" s="8">
        <v>2.1</v>
      </c>
      <c r="Y59" s="8">
        <v>2.4</v>
      </c>
      <c r="Z59" s="8">
        <v>2.7</v>
      </c>
      <c r="AA59" s="8">
        <v>2.4</v>
      </c>
      <c r="AB59" s="8">
        <v>2.5</v>
      </c>
      <c r="AC59" s="8">
        <v>2.1</v>
      </c>
      <c r="AD59" s="8">
        <v>2.6</v>
      </c>
      <c r="AE59" s="8">
        <v>2.7</v>
      </c>
      <c r="AF59" s="8">
        <v>1.5</v>
      </c>
      <c r="AG59" s="8">
        <v>1.3</v>
      </c>
      <c r="AH59" s="8">
        <v>1.8</v>
      </c>
      <c r="AI59" s="8">
        <v>2.2999999999999998</v>
      </c>
      <c r="AJ59" s="8">
        <v>2.7</v>
      </c>
      <c r="AL59" s="8">
        <f t="shared" si="6"/>
        <v>2.2142857142857144</v>
      </c>
      <c r="AM59" s="8">
        <f t="shared" si="7"/>
        <v>0.48028352970673749</v>
      </c>
    </row>
    <row r="60" spans="1:39">
      <c r="A60" s="22">
        <v>7</v>
      </c>
      <c r="B60" s="8">
        <v>2.4</v>
      </c>
      <c r="C60" s="8">
        <v>2.6</v>
      </c>
      <c r="D60" s="8">
        <v>2.1</v>
      </c>
      <c r="E60" s="8">
        <v>2.8</v>
      </c>
      <c r="F60" s="8">
        <v>2.5</v>
      </c>
      <c r="G60" s="8">
        <v>2.2999999999999998</v>
      </c>
      <c r="H60" s="8">
        <v>2.4</v>
      </c>
      <c r="I60" s="8">
        <v>2.5</v>
      </c>
      <c r="J60" s="8">
        <v>2.1</v>
      </c>
      <c r="K60" s="8">
        <v>2.9</v>
      </c>
      <c r="L60" s="8">
        <v>2.5</v>
      </c>
      <c r="M60" s="8">
        <v>2.7</v>
      </c>
      <c r="N60" s="8">
        <v>2.2000000000000002</v>
      </c>
      <c r="O60" s="8">
        <v>2.4</v>
      </c>
      <c r="P60" s="8">
        <v>2.9</v>
      </c>
      <c r="Q60" s="8">
        <v>2.1</v>
      </c>
      <c r="R60" s="8">
        <v>1.7</v>
      </c>
      <c r="S60" s="8">
        <v>1.5</v>
      </c>
      <c r="T60" s="8">
        <v>2.1</v>
      </c>
      <c r="U60" s="8">
        <v>2.7</v>
      </c>
      <c r="V60" s="8">
        <v>1.9</v>
      </c>
      <c r="W60" s="8">
        <v>2.5</v>
      </c>
      <c r="X60" s="8">
        <v>2.4</v>
      </c>
      <c r="Y60" s="8">
        <v>2.1</v>
      </c>
      <c r="Z60" s="8">
        <v>2.6</v>
      </c>
      <c r="AA60" s="8">
        <v>2.7</v>
      </c>
      <c r="AB60" s="8">
        <v>2.5</v>
      </c>
      <c r="AC60" s="8">
        <v>1.4</v>
      </c>
      <c r="AD60" s="8">
        <v>2.8</v>
      </c>
      <c r="AE60" s="8">
        <v>3.1</v>
      </c>
      <c r="AF60" s="8">
        <v>3.6</v>
      </c>
      <c r="AG60" s="8">
        <v>3.8</v>
      </c>
      <c r="AH60" s="8">
        <v>3.5</v>
      </c>
      <c r="AI60" s="8">
        <v>2.1</v>
      </c>
      <c r="AJ60" s="8">
        <v>2.6</v>
      </c>
      <c r="AL60" s="8">
        <f t="shared" si="6"/>
        <v>2.4857142857142853</v>
      </c>
      <c r="AM60" s="8">
        <f t="shared" si="7"/>
        <v>0.52139115786115953</v>
      </c>
    </row>
    <row r="61" spans="1:39">
      <c r="A61" s="22">
        <v>8</v>
      </c>
      <c r="B61" s="8">
        <v>2.1</v>
      </c>
      <c r="C61" s="8">
        <v>2.2999999999999998</v>
      </c>
      <c r="D61" s="8">
        <v>2.6</v>
      </c>
      <c r="E61" s="8">
        <v>2.1</v>
      </c>
      <c r="F61" s="8">
        <v>2.8</v>
      </c>
      <c r="G61" s="8">
        <v>1.5</v>
      </c>
      <c r="H61" s="8">
        <v>0.13</v>
      </c>
      <c r="I61" s="8">
        <v>2.8</v>
      </c>
      <c r="J61" s="8">
        <v>2.2999999999999998</v>
      </c>
      <c r="K61" s="8">
        <v>2.1</v>
      </c>
      <c r="L61" s="8">
        <v>3.1</v>
      </c>
      <c r="M61" s="8">
        <v>3</v>
      </c>
      <c r="N61" s="8">
        <v>1.8</v>
      </c>
      <c r="O61" s="8">
        <v>1.5</v>
      </c>
      <c r="P61" s="8">
        <v>2.5</v>
      </c>
      <c r="Q61" s="8">
        <v>2.8</v>
      </c>
      <c r="R61" s="8">
        <v>2.1</v>
      </c>
      <c r="S61" s="8">
        <v>2.6</v>
      </c>
      <c r="T61" s="8">
        <v>2.7</v>
      </c>
      <c r="U61" s="8">
        <v>3.1</v>
      </c>
      <c r="V61" s="8">
        <v>2.8</v>
      </c>
      <c r="W61" s="8">
        <v>2.4</v>
      </c>
      <c r="X61" s="8">
        <v>2</v>
      </c>
      <c r="Y61" s="8">
        <v>2.4</v>
      </c>
      <c r="Z61" s="8">
        <v>2.2999999999999998</v>
      </c>
      <c r="AA61" s="8">
        <v>2.5</v>
      </c>
      <c r="AB61" s="8">
        <v>2.7</v>
      </c>
      <c r="AC61" s="8">
        <v>2.4</v>
      </c>
      <c r="AD61" s="8">
        <v>2.7</v>
      </c>
      <c r="AE61" s="8">
        <v>2.1</v>
      </c>
      <c r="AF61" s="8">
        <v>2.7</v>
      </c>
      <c r="AG61" s="8">
        <v>2.8</v>
      </c>
      <c r="AH61" s="8">
        <v>2.5</v>
      </c>
      <c r="AI61" s="8">
        <v>2.9</v>
      </c>
      <c r="AJ61" s="8">
        <v>2.4</v>
      </c>
      <c r="AL61" s="8">
        <f t="shared" si="6"/>
        <v>2.386571428571429</v>
      </c>
      <c r="AM61" s="8">
        <f t="shared" si="7"/>
        <v>0.55905878285657207</v>
      </c>
    </row>
    <row r="62" spans="1:39">
      <c r="A62" s="22">
        <v>9</v>
      </c>
      <c r="B62" s="8">
        <v>2.1</v>
      </c>
      <c r="C62" s="8">
        <v>2.2999999999999998</v>
      </c>
      <c r="D62" s="8">
        <v>2.7</v>
      </c>
      <c r="E62" s="8">
        <v>2.5</v>
      </c>
      <c r="F62" s="8">
        <v>0.21</v>
      </c>
      <c r="G62" s="8">
        <v>2.5</v>
      </c>
      <c r="H62" s="8">
        <v>2.7</v>
      </c>
      <c r="I62" s="8">
        <v>2</v>
      </c>
      <c r="J62" s="8">
        <v>2.1</v>
      </c>
      <c r="K62" s="8">
        <v>1.8</v>
      </c>
      <c r="L62" s="8">
        <v>1.6</v>
      </c>
      <c r="M62" s="8">
        <v>1.8</v>
      </c>
      <c r="N62" s="8">
        <v>1.3</v>
      </c>
      <c r="O62" s="8">
        <v>2.1</v>
      </c>
      <c r="P62" s="8">
        <v>2.5</v>
      </c>
      <c r="Q62" s="8">
        <v>1.6</v>
      </c>
      <c r="R62" s="8">
        <v>3.6</v>
      </c>
      <c r="S62" s="8">
        <v>2.5</v>
      </c>
      <c r="T62" s="8">
        <v>2.1</v>
      </c>
      <c r="U62" s="8">
        <v>2.8</v>
      </c>
      <c r="V62" s="8">
        <v>2.5</v>
      </c>
      <c r="W62" s="8">
        <v>2.5</v>
      </c>
      <c r="X62" s="8">
        <v>1.5</v>
      </c>
      <c r="Y62" s="8">
        <v>1.9</v>
      </c>
      <c r="Z62" s="8">
        <v>2.6</v>
      </c>
      <c r="AA62" s="8">
        <v>2.2999999999999998</v>
      </c>
      <c r="AB62" s="8">
        <v>2.7</v>
      </c>
      <c r="AC62" s="8">
        <v>3.1</v>
      </c>
      <c r="AD62" s="8">
        <v>2.8</v>
      </c>
      <c r="AE62" s="8">
        <v>2.4</v>
      </c>
      <c r="AF62" s="8">
        <v>1.8</v>
      </c>
      <c r="AG62" s="8">
        <v>2.7</v>
      </c>
      <c r="AH62" s="8">
        <v>2.1</v>
      </c>
      <c r="AI62" s="8">
        <v>2.6</v>
      </c>
      <c r="AJ62" s="8">
        <v>2.9</v>
      </c>
      <c r="AL62" s="8">
        <f t="shared" si="6"/>
        <v>2.2631428571428573</v>
      </c>
      <c r="AM62" s="8">
        <f t="shared" si="7"/>
        <v>0.60392233347836055</v>
      </c>
    </row>
    <row r="63" spans="1:39">
      <c r="A63" s="22">
        <v>10</v>
      </c>
      <c r="B63" s="8">
        <v>2.5</v>
      </c>
      <c r="C63" s="8">
        <v>2.9</v>
      </c>
      <c r="D63" s="8">
        <v>0.21</v>
      </c>
      <c r="E63" s="8">
        <v>0.28999999999999998</v>
      </c>
      <c r="F63" s="8">
        <v>1.6</v>
      </c>
      <c r="G63" s="8">
        <v>2.5</v>
      </c>
      <c r="H63" s="8">
        <v>1.6</v>
      </c>
      <c r="I63" s="8">
        <v>2.6</v>
      </c>
      <c r="J63" s="8">
        <v>2.8</v>
      </c>
      <c r="K63" s="8">
        <v>1.5</v>
      </c>
      <c r="L63" s="8">
        <v>2.5</v>
      </c>
      <c r="M63" s="8">
        <v>2.4</v>
      </c>
      <c r="N63" s="8">
        <v>1.7</v>
      </c>
      <c r="O63" s="8">
        <v>1.2</v>
      </c>
      <c r="P63" s="8">
        <v>1.5</v>
      </c>
      <c r="Q63" s="8">
        <v>2.1</v>
      </c>
      <c r="R63" s="8">
        <v>2.7</v>
      </c>
      <c r="S63" s="8">
        <v>3.1</v>
      </c>
      <c r="T63" s="8">
        <v>2.7</v>
      </c>
      <c r="U63" s="8">
        <v>1.5</v>
      </c>
      <c r="V63" s="8">
        <v>1.6</v>
      </c>
      <c r="W63" s="8">
        <v>1.8</v>
      </c>
      <c r="X63" s="8">
        <v>1.9</v>
      </c>
      <c r="Y63" s="8">
        <v>3.1</v>
      </c>
      <c r="Z63" s="8">
        <v>2.6</v>
      </c>
      <c r="AA63" s="8">
        <v>2.6</v>
      </c>
      <c r="AB63" s="8">
        <v>2.5</v>
      </c>
      <c r="AC63" s="8">
        <v>1.3</v>
      </c>
      <c r="AD63" s="8">
        <v>3.6</v>
      </c>
      <c r="AE63" s="8">
        <v>2.6</v>
      </c>
      <c r="AF63" s="8">
        <v>2.5</v>
      </c>
      <c r="AG63" s="8">
        <v>2.1</v>
      </c>
      <c r="AH63" s="8">
        <v>2.7</v>
      </c>
      <c r="AI63" s="8">
        <v>3.1</v>
      </c>
      <c r="AJ63" s="8">
        <v>2.5</v>
      </c>
      <c r="AL63" s="8">
        <f t="shared" si="6"/>
        <v>2.1828571428571428</v>
      </c>
      <c r="AM63" s="8">
        <f t="shared" si="7"/>
        <v>0.76095749061364104</v>
      </c>
    </row>
    <row r="64" spans="1:39">
      <c r="AK64" s="8" t="s">
        <v>44</v>
      </c>
      <c r="AL64" s="22">
        <f>AVERAGE(AL54:AL63)</f>
        <v>2.2846857142857138</v>
      </c>
    </row>
    <row r="65" spans="37:38">
      <c r="AK65" s="8" t="s">
        <v>39</v>
      </c>
      <c r="AL65" s="8">
        <f>STDEV(AL54:AL63)</f>
        <v>0.16022151332868281</v>
      </c>
    </row>
  </sheetData>
  <mergeCells count="4">
    <mergeCell ref="B4:AJ4"/>
    <mergeCell ref="B20:AJ20"/>
    <mergeCell ref="B36:AJ36"/>
    <mergeCell ref="B52:AJ5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/>
  </sheetViews>
  <sheetFormatPr defaultRowHeight="15"/>
  <sheetData>
    <row r="1" spans="1:10">
      <c r="A1" t="s">
        <v>769</v>
      </c>
    </row>
    <row r="4" spans="1:10">
      <c r="B4" s="7" t="s">
        <v>139</v>
      </c>
      <c r="C4" s="7"/>
      <c r="D4" s="7"/>
      <c r="E4" s="7"/>
      <c r="F4" s="7" t="s">
        <v>140</v>
      </c>
      <c r="G4" s="7" t="s">
        <v>141</v>
      </c>
      <c r="H4" s="7"/>
      <c r="I4" s="7"/>
      <c r="J4" s="7"/>
    </row>
    <row r="5" spans="1:10">
      <c r="A5" s="7" t="s">
        <v>142</v>
      </c>
      <c r="B5" t="s">
        <v>143</v>
      </c>
      <c r="F5" t="s">
        <v>144</v>
      </c>
      <c r="G5" t="s">
        <v>145</v>
      </c>
    </row>
    <row r="6" spans="1:10">
      <c r="G6" t="s">
        <v>146</v>
      </c>
    </row>
    <row r="7" spans="1:10">
      <c r="A7" s="7" t="s">
        <v>147</v>
      </c>
      <c r="B7" t="s">
        <v>148</v>
      </c>
      <c r="F7" t="s">
        <v>149</v>
      </c>
      <c r="G7" t="s">
        <v>150</v>
      </c>
    </row>
    <row r="9" spans="1:10">
      <c r="A9" s="7" t="s">
        <v>151</v>
      </c>
      <c r="B9" t="s">
        <v>152</v>
      </c>
      <c r="F9" t="s">
        <v>153</v>
      </c>
    </row>
    <row r="13" spans="1:10">
      <c r="B13" s="1" t="s">
        <v>166</v>
      </c>
      <c r="D13" s="1" t="s">
        <v>165</v>
      </c>
      <c r="E13" s="1"/>
      <c r="F13" s="1"/>
      <c r="G13" s="1"/>
      <c r="H13" s="1"/>
      <c r="I13" s="1"/>
    </row>
    <row r="14" spans="1:10">
      <c r="D14" s="1"/>
      <c r="E14" s="1"/>
      <c r="F14" s="1"/>
      <c r="G14" s="1"/>
      <c r="H14" s="1"/>
      <c r="I14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Y26"/>
  <sheetViews>
    <sheetView zoomScale="59" zoomScaleNormal="59" workbookViewId="0">
      <selection activeCell="A3" sqref="A3"/>
    </sheetView>
  </sheetViews>
  <sheetFormatPr defaultRowHeight="15"/>
  <cols>
    <col min="1" max="1" width="22.140625" style="148" customWidth="1"/>
    <col min="2" max="6" width="9.140625" style="148"/>
    <col min="7" max="16384" width="9.140625" style="8"/>
  </cols>
  <sheetData>
    <row r="3" spans="1:12">
      <c r="A3" s="147" t="s">
        <v>770</v>
      </c>
    </row>
    <row r="4" spans="1:12">
      <c r="A4" s="147" t="s">
        <v>167</v>
      </c>
      <c r="B4" s="175" t="s">
        <v>168</v>
      </c>
      <c r="C4" s="175"/>
      <c r="E4" s="147" t="s">
        <v>171</v>
      </c>
    </row>
    <row r="5" spans="1:12">
      <c r="A5" s="148">
        <v>0</v>
      </c>
      <c r="B5" s="148">
        <v>79</v>
      </c>
      <c r="C5" s="148">
        <v>76</v>
      </c>
      <c r="E5" s="148">
        <f>AVERAGE(B5:C5)</f>
        <v>77.5</v>
      </c>
    </row>
    <row r="6" spans="1:12">
      <c r="A6" s="148">
        <v>1</v>
      </c>
      <c r="B6" s="148">
        <v>112</v>
      </c>
      <c r="C6" s="148">
        <v>118</v>
      </c>
      <c r="E6" s="148">
        <f t="shared" ref="E6:E12" si="0">AVERAGE(B6:C6)</f>
        <v>115</v>
      </c>
    </row>
    <row r="7" spans="1:12">
      <c r="A7" s="148">
        <v>3</v>
      </c>
      <c r="B7" s="148">
        <v>254</v>
      </c>
      <c r="C7" s="148">
        <v>259</v>
      </c>
      <c r="E7" s="148">
        <f t="shared" si="0"/>
        <v>256.5</v>
      </c>
    </row>
    <row r="8" spans="1:12">
      <c r="A8" s="148">
        <v>10</v>
      </c>
      <c r="B8" s="148">
        <v>382</v>
      </c>
      <c r="C8" s="148">
        <v>371</v>
      </c>
      <c r="E8" s="148">
        <f t="shared" si="0"/>
        <v>376.5</v>
      </c>
    </row>
    <row r="9" spans="1:12">
      <c r="A9" s="148">
        <v>30</v>
      </c>
      <c r="B9" s="148">
        <v>529</v>
      </c>
      <c r="C9" s="148">
        <v>532</v>
      </c>
      <c r="E9" s="148">
        <f t="shared" si="0"/>
        <v>530.5</v>
      </c>
    </row>
    <row r="10" spans="1:12">
      <c r="A10" s="148">
        <v>100</v>
      </c>
      <c r="B10" s="148">
        <v>881</v>
      </c>
      <c r="C10" s="148">
        <v>874</v>
      </c>
      <c r="E10" s="148">
        <f t="shared" si="0"/>
        <v>877.5</v>
      </c>
    </row>
    <row r="11" spans="1:12">
      <c r="A11" s="148">
        <v>300</v>
      </c>
      <c r="B11" s="148">
        <v>968</v>
      </c>
      <c r="C11" s="148">
        <v>978</v>
      </c>
      <c r="E11" s="148">
        <f t="shared" si="0"/>
        <v>973</v>
      </c>
    </row>
    <row r="12" spans="1:12">
      <c r="A12" s="148">
        <v>1000</v>
      </c>
      <c r="B12" s="148">
        <v>11832</v>
      </c>
      <c r="C12" s="148">
        <v>11895</v>
      </c>
      <c r="E12" s="148">
        <f t="shared" si="0"/>
        <v>11863.5</v>
      </c>
    </row>
    <row r="15" spans="1:12">
      <c r="A15" s="147"/>
      <c r="B15" s="174" t="s">
        <v>168</v>
      </c>
      <c r="C15" s="174"/>
      <c r="D15" s="174"/>
      <c r="E15" s="174"/>
      <c r="F15" s="174"/>
      <c r="G15" s="174"/>
      <c r="H15" s="174"/>
      <c r="I15" s="174"/>
      <c r="J15" s="174"/>
      <c r="K15" s="174"/>
      <c r="L15" s="174"/>
    </row>
    <row r="16" spans="1:12">
      <c r="A16" s="147"/>
      <c r="B16" s="149" t="s">
        <v>541</v>
      </c>
      <c r="C16" s="149" t="s">
        <v>542</v>
      </c>
      <c r="D16" s="149" t="s">
        <v>543</v>
      </c>
      <c r="E16" s="149" t="s">
        <v>544</v>
      </c>
      <c r="F16" s="149" t="s">
        <v>545</v>
      </c>
      <c r="G16" s="149" t="s">
        <v>722</v>
      </c>
      <c r="H16" s="149" t="s">
        <v>723</v>
      </c>
      <c r="I16" s="149" t="s">
        <v>724</v>
      </c>
      <c r="J16" s="149" t="s">
        <v>725</v>
      </c>
      <c r="K16" s="149" t="s">
        <v>726</v>
      </c>
      <c r="L16" s="149"/>
    </row>
    <row r="17" spans="1:25">
      <c r="A17" s="147" t="s">
        <v>169</v>
      </c>
      <c r="B17" s="148">
        <v>143.05000000000001</v>
      </c>
      <c r="C17" s="148">
        <v>154.20400000000001</v>
      </c>
      <c r="D17" s="148">
        <v>243.054</v>
      </c>
      <c r="E17" s="148">
        <v>277.40600000000001</v>
      </c>
      <c r="F17" s="148">
        <v>113.6</v>
      </c>
      <c r="G17" s="148">
        <v>133.113</v>
      </c>
      <c r="H17" s="148">
        <v>231.43</v>
      </c>
      <c r="I17" s="148">
        <v>114.405</v>
      </c>
      <c r="J17" s="148">
        <v>211.59</v>
      </c>
      <c r="K17" s="148">
        <v>243.4</v>
      </c>
      <c r="P17" s="150"/>
      <c r="Q17" s="150"/>
      <c r="R17" s="150"/>
      <c r="S17" s="150"/>
      <c r="T17" s="150"/>
      <c r="U17" s="150"/>
      <c r="V17" s="150"/>
      <c r="W17" s="150"/>
      <c r="X17" s="150"/>
      <c r="Y17" s="150"/>
    </row>
    <row r="18" spans="1:25">
      <c r="A18" s="147" t="s">
        <v>170</v>
      </c>
      <c r="B18" s="148">
        <v>241.202</v>
      </c>
      <c r="C18" s="148">
        <v>254.03399999999999</v>
      </c>
      <c r="D18" s="148">
        <v>211.405</v>
      </c>
      <c r="E18" s="148">
        <v>244.60400000000001</v>
      </c>
      <c r="F18" s="148">
        <v>311.20400000000001</v>
      </c>
      <c r="G18" s="148">
        <v>274.03300000000002</v>
      </c>
      <c r="H18" s="148">
        <v>134.04300000000001</v>
      </c>
      <c r="I18" s="148">
        <v>354.10300000000001</v>
      </c>
      <c r="J18" s="148">
        <v>233.054</v>
      </c>
      <c r="K18" s="148">
        <v>322.10399999999998</v>
      </c>
      <c r="P18" s="150"/>
      <c r="Q18" s="150"/>
      <c r="R18" s="150"/>
      <c r="S18" s="150"/>
      <c r="T18" s="150"/>
      <c r="U18" s="150"/>
      <c r="V18" s="150"/>
      <c r="W18" s="150"/>
      <c r="X18" s="150"/>
      <c r="Y18" s="150"/>
    </row>
    <row r="19" spans="1:25">
      <c r="A19" s="147" t="s">
        <v>172</v>
      </c>
      <c r="B19" s="148">
        <v>254.12</v>
      </c>
      <c r="C19" s="148">
        <v>221.04499999999999</v>
      </c>
      <c r="D19" s="148">
        <v>264.03500000000003</v>
      </c>
      <c r="E19" s="148">
        <v>245.01400000000001</v>
      </c>
      <c r="F19" s="148">
        <v>275.04599999999999</v>
      </c>
      <c r="G19" s="148">
        <v>266.40600000000001</v>
      </c>
      <c r="H19" s="148">
        <v>145.10300000000001</v>
      </c>
      <c r="I19" s="148">
        <v>318.50299999999999</v>
      </c>
      <c r="J19" s="148">
        <v>563.93499999999995</v>
      </c>
      <c r="K19" s="148">
        <v>164.6</v>
      </c>
      <c r="P19" s="150"/>
      <c r="Q19" s="150"/>
      <c r="R19" s="150"/>
      <c r="S19" s="150"/>
      <c r="T19" s="150"/>
      <c r="U19" s="150"/>
      <c r="V19" s="150"/>
      <c r="W19" s="150"/>
      <c r="X19" s="150"/>
      <c r="Y19" s="150"/>
    </row>
    <row r="20" spans="1:25">
      <c r="A20" s="147" t="s">
        <v>173</v>
      </c>
      <c r="B20" s="148">
        <v>359.93</v>
      </c>
      <c r="C20" s="148">
        <v>482.495</v>
      </c>
      <c r="D20" s="148">
        <v>332.01400000000001</v>
      </c>
      <c r="E20" s="148">
        <v>496.49</v>
      </c>
      <c r="F20" s="148">
        <v>311.20499999999998</v>
      </c>
      <c r="G20" s="148">
        <v>285.68400000000003</v>
      </c>
      <c r="H20" s="148">
        <v>355.69200000000001</v>
      </c>
      <c r="I20" s="148">
        <v>241.69200000000001</v>
      </c>
      <c r="J20" s="148">
        <v>316.495</v>
      </c>
      <c r="K20" s="148">
        <v>311.05399999999997</v>
      </c>
      <c r="P20" s="150"/>
      <c r="Q20" s="150"/>
      <c r="R20" s="150"/>
      <c r="S20" s="150"/>
      <c r="T20" s="150"/>
      <c r="U20" s="150"/>
      <c r="V20" s="150"/>
      <c r="W20" s="150"/>
      <c r="X20" s="150"/>
      <c r="Y20" s="150"/>
    </row>
    <row r="21" spans="1:25">
      <c r="G21" s="148"/>
      <c r="H21" s="148"/>
      <c r="I21" s="148"/>
      <c r="J21" s="148"/>
      <c r="K21" s="148"/>
    </row>
    <row r="22" spans="1:25">
      <c r="B22" s="174" t="s">
        <v>205</v>
      </c>
      <c r="C22" s="173"/>
      <c r="D22" s="173"/>
      <c r="E22" s="173"/>
      <c r="F22" s="173"/>
      <c r="G22" s="173"/>
      <c r="H22" s="173"/>
      <c r="I22" s="173"/>
      <c r="J22" s="173"/>
      <c r="K22" s="173"/>
    </row>
    <row r="23" spans="1:25">
      <c r="A23" s="147" t="s">
        <v>169</v>
      </c>
      <c r="B23" s="148">
        <f>((B17+166.09)/11.356)</f>
        <v>27.222613596336739</v>
      </c>
      <c r="C23" s="148">
        <f t="shared" ref="C23:K23" si="1">((C17+166.09)/11.356)</f>
        <v>28.204825642831981</v>
      </c>
      <c r="D23" s="148">
        <f t="shared" si="1"/>
        <v>36.028883409651286</v>
      </c>
      <c r="E23" s="148">
        <f t="shared" si="1"/>
        <v>39.053892215568858</v>
      </c>
      <c r="F23" s="148">
        <f t="shared" si="1"/>
        <v>24.629270870024655</v>
      </c>
      <c r="G23" s="148">
        <f t="shared" si="1"/>
        <v>26.347569566748852</v>
      </c>
      <c r="H23" s="148">
        <f t="shared" si="1"/>
        <v>35.005283550545968</v>
      </c>
      <c r="I23" s="148">
        <f t="shared" si="1"/>
        <v>24.700158506516381</v>
      </c>
      <c r="J23" s="148">
        <f t="shared" si="1"/>
        <v>33.258189503346252</v>
      </c>
      <c r="K23" s="148">
        <f t="shared" si="1"/>
        <v>36.059351884466359</v>
      </c>
    </row>
    <row r="24" spans="1:25">
      <c r="A24" s="147" t="s">
        <v>170</v>
      </c>
      <c r="B24" s="148">
        <f t="shared" ref="B24:K24" si="2">((B18+166.09)/11.356)</f>
        <v>35.865797816132442</v>
      </c>
      <c r="C24" s="148">
        <f t="shared" si="2"/>
        <v>36.995773159563228</v>
      </c>
      <c r="D24" s="148">
        <f t="shared" si="2"/>
        <v>33.241898555829515</v>
      </c>
      <c r="E24" s="148">
        <f t="shared" si="2"/>
        <v>36.165375132088762</v>
      </c>
      <c r="F24" s="148">
        <f t="shared" si="2"/>
        <v>42.030116238112008</v>
      </c>
      <c r="G24" s="148">
        <f t="shared" si="2"/>
        <v>38.756868615709763</v>
      </c>
      <c r="H24" s="148">
        <f t="shared" si="2"/>
        <v>26.429464600211347</v>
      </c>
      <c r="I24" s="148">
        <f t="shared" si="2"/>
        <v>45.807766819302572</v>
      </c>
      <c r="J24" s="148">
        <f t="shared" si="2"/>
        <v>35.148291651990135</v>
      </c>
      <c r="K24" s="148">
        <f t="shared" si="2"/>
        <v>42.989961253962662</v>
      </c>
    </row>
    <row r="25" spans="1:25">
      <c r="A25" s="147" t="s">
        <v>172</v>
      </c>
      <c r="B25" s="148">
        <f t="shared" ref="B25:K25" si="3">((B19+166.09)/11.356)</f>
        <v>37.003346248679115</v>
      </c>
      <c r="C25" s="148">
        <f t="shared" si="3"/>
        <v>34.090789010214863</v>
      </c>
      <c r="D25" s="148">
        <f t="shared" si="3"/>
        <v>37.876452976400138</v>
      </c>
      <c r="E25" s="148">
        <f t="shared" si="3"/>
        <v>36.201479394152877</v>
      </c>
      <c r="F25" s="148">
        <f t="shared" si="3"/>
        <v>38.846072560760831</v>
      </c>
      <c r="G25" s="148">
        <f t="shared" si="3"/>
        <v>38.085241282141595</v>
      </c>
      <c r="H25" s="148">
        <f t="shared" si="3"/>
        <v>27.403399084184571</v>
      </c>
      <c r="I25" s="148">
        <f t="shared" si="3"/>
        <v>42.672860162028883</v>
      </c>
      <c r="J25" s="148">
        <f t="shared" si="3"/>
        <v>64.285399788657983</v>
      </c>
      <c r="K25" s="148">
        <f t="shared" si="3"/>
        <v>29.120288834096513</v>
      </c>
      <c r="M25" s="148"/>
    </row>
    <row r="26" spans="1:25">
      <c r="A26" s="147" t="s">
        <v>173</v>
      </c>
      <c r="B26" s="148">
        <f t="shared" ref="B26:K26" si="4">((B20+166.09)/11.356)</f>
        <v>46.320887636491719</v>
      </c>
      <c r="C26" s="148">
        <f t="shared" si="4"/>
        <v>57.113860514265589</v>
      </c>
      <c r="D26" s="148">
        <f t="shared" si="4"/>
        <v>43.862627685804867</v>
      </c>
      <c r="E26" s="148">
        <f t="shared" si="4"/>
        <v>58.346248679112371</v>
      </c>
      <c r="F26" s="148">
        <f t="shared" si="4"/>
        <v>42.030204297287774</v>
      </c>
      <c r="G26" s="148">
        <f t="shared" si="4"/>
        <v>39.782846072560758</v>
      </c>
      <c r="H26" s="148">
        <f t="shared" si="4"/>
        <v>45.947692849594929</v>
      </c>
      <c r="I26" s="148">
        <f t="shared" si="4"/>
        <v>35.908946812257838</v>
      </c>
      <c r="J26" s="148">
        <f t="shared" si="4"/>
        <v>42.496037337090527</v>
      </c>
      <c r="K26" s="148">
        <f t="shared" si="4"/>
        <v>42.016907361747094</v>
      </c>
    </row>
  </sheetData>
  <mergeCells count="3">
    <mergeCell ref="B22:K22"/>
    <mergeCell ref="B4:C4"/>
    <mergeCell ref="B15:L15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9"/>
  <sheetViews>
    <sheetView zoomScale="62" zoomScaleNormal="62" workbookViewId="0">
      <selection activeCell="A2" sqref="A2"/>
    </sheetView>
  </sheetViews>
  <sheetFormatPr defaultRowHeight="15"/>
  <cols>
    <col min="1" max="1" width="21.28515625" style="42" customWidth="1"/>
    <col min="2" max="16384" width="9.140625" style="42"/>
  </cols>
  <sheetData>
    <row r="2" spans="1:7" ht="15.75">
      <c r="A2" s="41" t="s">
        <v>771</v>
      </c>
    </row>
    <row r="4" spans="1:7" ht="15.75">
      <c r="B4" s="177" t="s">
        <v>179</v>
      </c>
      <c r="C4" s="177"/>
      <c r="D4" s="177"/>
      <c r="E4" s="177"/>
      <c r="F4" s="177"/>
      <c r="G4" s="177"/>
    </row>
    <row r="5" spans="1:7" ht="15.75">
      <c r="A5" s="41" t="s">
        <v>178</v>
      </c>
      <c r="B5" s="176"/>
      <c r="C5" s="176"/>
      <c r="D5" s="176"/>
      <c r="E5" s="176"/>
      <c r="F5" s="176"/>
    </row>
    <row r="6" spans="1:7">
      <c r="A6" s="42" t="s">
        <v>174</v>
      </c>
      <c r="B6" s="43">
        <v>0.85899999999999999</v>
      </c>
      <c r="C6" s="43">
        <v>0.79</v>
      </c>
      <c r="D6" s="43">
        <v>0.95199999999999996</v>
      </c>
      <c r="E6" s="43">
        <v>0.79500000000000004</v>
      </c>
      <c r="F6" s="43">
        <v>0.749</v>
      </c>
    </row>
    <row r="7" spans="1:7">
      <c r="A7" s="42" t="s">
        <v>175</v>
      </c>
      <c r="B7" s="43">
        <v>0.115</v>
      </c>
      <c r="C7" s="43">
        <v>0.17</v>
      </c>
      <c r="D7" s="43">
        <v>0.13500000000000001</v>
      </c>
      <c r="E7" s="43">
        <v>0.36499999999999999</v>
      </c>
      <c r="F7" s="43">
        <v>0.14899999999999999</v>
      </c>
    </row>
    <row r="8" spans="1:7">
      <c r="A8" s="42" t="s">
        <v>176</v>
      </c>
      <c r="B8" s="43">
        <v>0.39539999999999997</v>
      </c>
      <c r="C8" s="43">
        <v>0.58320000000000005</v>
      </c>
      <c r="D8" s="43">
        <v>0.21529999999999999</v>
      </c>
      <c r="E8" s="43">
        <v>0.33193</v>
      </c>
      <c r="F8" s="43">
        <v>0.41682999999999998</v>
      </c>
    </row>
    <row r="9" spans="1:7">
      <c r="A9" s="42" t="s">
        <v>177</v>
      </c>
      <c r="B9" s="43">
        <v>1.9E-2</v>
      </c>
      <c r="C9" s="43">
        <v>2.4E-2</v>
      </c>
      <c r="D9" s="43">
        <v>0.112</v>
      </c>
      <c r="E9" s="43">
        <v>9.0999999999999998E-2</v>
      </c>
      <c r="F9" s="43">
        <v>5.3999999999999999E-2</v>
      </c>
    </row>
  </sheetData>
  <mergeCells count="2">
    <mergeCell ref="B5:F5"/>
    <mergeCell ref="B4:G4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41"/>
  <sheetViews>
    <sheetView zoomScale="37" zoomScaleNormal="37" workbookViewId="0">
      <selection activeCell="A2" sqref="A2"/>
    </sheetView>
  </sheetViews>
  <sheetFormatPr defaultRowHeight="15"/>
  <cols>
    <col min="2" max="2" width="20.42578125" customWidth="1"/>
    <col min="3" max="3" width="12.140625" customWidth="1"/>
    <col min="4" max="4" width="12.5703125" customWidth="1"/>
    <col min="5" max="5" width="12" customWidth="1"/>
    <col min="6" max="6" width="12.28515625" customWidth="1"/>
    <col min="7" max="7" width="11.5703125" customWidth="1"/>
  </cols>
  <sheetData>
    <row r="2" spans="1:20">
      <c r="A2" s="1" t="s">
        <v>10</v>
      </c>
    </row>
    <row r="3" spans="1:20" ht="15.75">
      <c r="C3" s="177" t="s">
        <v>180</v>
      </c>
      <c r="D3" s="177"/>
      <c r="E3" s="177"/>
      <c r="F3" s="177"/>
      <c r="G3" s="177"/>
      <c r="H3" s="177"/>
    </row>
    <row r="4" spans="1:20" ht="15.75" customHeight="1">
      <c r="A4" s="39"/>
      <c r="B4" s="178" t="s">
        <v>178</v>
      </c>
      <c r="C4" s="169" t="s">
        <v>181</v>
      </c>
      <c r="D4" s="169"/>
      <c r="E4" s="169"/>
      <c r="F4" s="1"/>
      <c r="G4" s="169" t="s">
        <v>182</v>
      </c>
      <c r="H4" s="169"/>
      <c r="I4" s="169"/>
      <c r="J4" s="1"/>
      <c r="K4" s="45" t="s">
        <v>191</v>
      </c>
      <c r="L4" s="1"/>
      <c r="M4" s="1"/>
      <c r="N4" s="1"/>
      <c r="O4" s="1" t="s">
        <v>183</v>
      </c>
      <c r="P4" s="1" t="s">
        <v>184</v>
      </c>
      <c r="Q4" s="1"/>
      <c r="R4" s="1" t="s">
        <v>185</v>
      </c>
      <c r="S4" s="1"/>
      <c r="T4" s="1" t="s">
        <v>186</v>
      </c>
    </row>
    <row r="5" spans="1:20">
      <c r="A5" s="39">
        <v>1</v>
      </c>
      <c r="B5" s="178"/>
      <c r="C5" s="1" t="s">
        <v>187</v>
      </c>
      <c r="D5" s="1" t="s">
        <v>188</v>
      </c>
      <c r="E5" s="1" t="s">
        <v>189</v>
      </c>
      <c r="F5" s="1"/>
      <c r="G5" s="1" t="s">
        <v>190</v>
      </c>
      <c r="H5" s="1" t="s">
        <v>188</v>
      </c>
      <c r="I5" s="1" t="s">
        <v>189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15.75">
      <c r="A6" s="39"/>
      <c r="B6" s="46" t="s">
        <v>174</v>
      </c>
      <c r="C6">
        <v>31.19184684753418</v>
      </c>
      <c r="D6">
        <v>28.899158477783203</v>
      </c>
      <c r="E6">
        <v>31.331342697143555</v>
      </c>
      <c r="G6">
        <v>25.54</v>
      </c>
      <c r="H6">
        <v>25.548999999999999</v>
      </c>
      <c r="I6">
        <v>25.132000000000001</v>
      </c>
      <c r="K6">
        <f>C6-G6</f>
        <v>5.6518468475341805</v>
      </c>
      <c r="L6">
        <f>D6-H6</f>
        <v>3.3501584777832036</v>
      </c>
      <c r="M6">
        <f>E6-I6</f>
        <v>6.1993426971435532</v>
      </c>
      <c r="O6">
        <f>AVERAGE(M6,K6)</f>
        <v>5.9255947723388669</v>
      </c>
      <c r="P6">
        <f>STDEV(K6,M6)</f>
        <v>0.38713802793027763</v>
      </c>
      <c r="R6">
        <f>O6-O6</f>
        <v>0</v>
      </c>
      <c r="T6">
        <f>POWER(2,-R6)</f>
        <v>1</v>
      </c>
    </row>
    <row r="7" spans="1:20" ht="15.75">
      <c r="A7" s="39"/>
      <c r="B7" s="46" t="s">
        <v>175</v>
      </c>
      <c r="C7">
        <v>29.8409210205078</v>
      </c>
      <c r="D7">
        <v>29.766151428222599</v>
      </c>
      <c r="E7">
        <v>29.261852264404201</v>
      </c>
      <c r="G7">
        <v>22.193760681152298</v>
      </c>
      <c r="H7">
        <v>22.423469543456999</v>
      </c>
      <c r="I7">
        <v>22.2589206695556</v>
      </c>
      <c r="K7">
        <f t="shared" ref="K7:M7" si="0">C7-G7</f>
        <v>7.6471603393555014</v>
      </c>
      <c r="L7">
        <f t="shared" si="0"/>
        <v>7.3426818847656001</v>
      </c>
      <c r="M7">
        <f t="shared" si="0"/>
        <v>7.0029315948486008</v>
      </c>
      <c r="O7">
        <f t="shared" ref="O7" si="1">AVERAGE(K7:M7)</f>
        <v>7.3309246063232338</v>
      </c>
      <c r="P7">
        <f t="shared" ref="P7" si="2">STDEV(K7:M7)</f>
        <v>0.32227526124341727</v>
      </c>
      <c r="R7">
        <f>O7-O6</f>
        <v>1.4053298339843669</v>
      </c>
      <c r="T7">
        <f t="shared" ref="T7" si="3">POWER(2,-R7)</f>
        <v>0.37753182387785922</v>
      </c>
    </row>
    <row r="8" spans="1:20" ht="15.75">
      <c r="A8" s="39"/>
      <c r="B8" s="46" t="s">
        <v>176</v>
      </c>
      <c r="C8">
        <v>28.894200000000001</v>
      </c>
      <c r="D8">
        <v>28.489432260000001</v>
      </c>
      <c r="E8">
        <v>28.749230000000001</v>
      </c>
      <c r="G8">
        <v>22.2834</v>
      </c>
      <c r="H8">
        <v>22.1983</v>
      </c>
      <c r="I8">
        <v>23.372810000000001</v>
      </c>
      <c r="K8">
        <v>6.6108000000000011</v>
      </c>
      <c r="L8">
        <v>6.2911322600000013</v>
      </c>
      <c r="M8">
        <v>5.3764199999999995</v>
      </c>
      <c r="O8">
        <v>6.0927840866666676</v>
      </c>
      <c r="P8">
        <v>0.64064810504558878</v>
      </c>
      <c r="R8">
        <v>0.16718931432780071</v>
      </c>
      <c r="T8">
        <v>0.89057602915428513</v>
      </c>
    </row>
    <row r="9" spans="1:20" ht="15.75">
      <c r="A9" s="39"/>
      <c r="B9" s="46" t="s">
        <v>177</v>
      </c>
      <c r="C9">
        <v>33.481319999999997</v>
      </c>
      <c r="D9">
        <v>33.92848</v>
      </c>
      <c r="E9">
        <v>33.183430000000001</v>
      </c>
      <c r="G9">
        <v>23.789400000000001</v>
      </c>
      <c r="H9">
        <v>23.721699999999998</v>
      </c>
      <c r="I9">
        <v>23.4832</v>
      </c>
      <c r="K9">
        <v>9.6919199999999961</v>
      </c>
      <c r="L9">
        <v>10.206780000000002</v>
      </c>
      <c r="M9">
        <v>9.7002300000000012</v>
      </c>
      <c r="O9">
        <v>9.8663100000000004</v>
      </c>
      <c r="P9">
        <v>0.29488494315580299</v>
      </c>
      <c r="R9">
        <v>3.9407152276611335</v>
      </c>
      <c r="T9">
        <v>6.5121817384219072E-2</v>
      </c>
    </row>
    <row r="10" spans="1:20" ht="15.75">
      <c r="A10" s="39"/>
      <c r="B10" s="46"/>
    </row>
    <row r="11" spans="1:20">
      <c r="A11" s="39"/>
    </row>
    <row r="12" spans="1:20">
      <c r="A12" s="39"/>
      <c r="B12" s="178" t="s">
        <v>178</v>
      </c>
      <c r="C12" s="169" t="s">
        <v>181</v>
      </c>
      <c r="D12" s="169"/>
      <c r="E12" s="169"/>
      <c r="F12" s="1"/>
      <c r="G12" s="169" t="s">
        <v>182</v>
      </c>
      <c r="H12" s="169"/>
      <c r="I12" s="169"/>
      <c r="J12" s="1"/>
      <c r="K12" s="45" t="s">
        <v>191</v>
      </c>
      <c r="L12" s="1"/>
      <c r="M12" s="1"/>
      <c r="N12" s="1"/>
      <c r="O12" s="1" t="s">
        <v>183</v>
      </c>
      <c r="P12" s="1" t="s">
        <v>184</v>
      </c>
      <c r="Q12" s="1"/>
      <c r="R12" s="1" t="s">
        <v>185</v>
      </c>
      <c r="S12" s="1"/>
      <c r="T12" s="1" t="s">
        <v>186</v>
      </c>
    </row>
    <row r="13" spans="1:20">
      <c r="A13" s="39">
        <v>2</v>
      </c>
      <c r="B13" s="178"/>
      <c r="C13" s="1" t="s">
        <v>187</v>
      </c>
      <c r="D13" s="1" t="s">
        <v>188</v>
      </c>
      <c r="E13" s="1" t="s">
        <v>189</v>
      </c>
      <c r="F13" s="1"/>
      <c r="G13" s="1" t="s">
        <v>190</v>
      </c>
      <c r="H13" s="1" t="s">
        <v>188</v>
      </c>
      <c r="I13" s="1" t="s">
        <v>189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.75">
      <c r="A14" s="39"/>
      <c r="B14" s="46" t="s">
        <v>174</v>
      </c>
      <c r="C14">
        <v>31.294</v>
      </c>
      <c r="D14">
        <v>31.119</v>
      </c>
      <c r="E14">
        <v>31.954000000000001</v>
      </c>
      <c r="G14">
        <v>25.65</v>
      </c>
      <c r="H14">
        <v>25.965</v>
      </c>
      <c r="I14">
        <v>25.120999999999999</v>
      </c>
      <c r="K14">
        <v>5.6440000000000019</v>
      </c>
      <c r="L14">
        <v>5.1539999999999999</v>
      </c>
      <c r="M14">
        <v>6.833000000000002</v>
      </c>
      <c r="O14">
        <v>6.2385000000000019</v>
      </c>
      <c r="P14">
        <v>0.84074996283080505</v>
      </c>
      <c r="R14">
        <v>0</v>
      </c>
      <c r="T14">
        <v>1</v>
      </c>
    </row>
    <row r="15" spans="1:20" ht="15.75">
      <c r="A15" s="39"/>
      <c r="B15" s="46" t="s">
        <v>175</v>
      </c>
      <c r="C15">
        <v>30.484999999999999</v>
      </c>
      <c r="D15">
        <v>30.483000000000001</v>
      </c>
      <c r="E15">
        <v>30.193000000000001</v>
      </c>
      <c r="G15">
        <v>22.59</v>
      </c>
      <c r="H15">
        <v>22.193999999999999</v>
      </c>
      <c r="I15">
        <v>22.564</v>
      </c>
      <c r="K15">
        <v>7.8949999999999996</v>
      </c>
      <c r="L15">
        <v>8.2890000000000015</v>
      </c>
      <c r="M15">
        <v>7.6290000000000013</v>
      </c>
      <c r="O15">
        <v>7.9376666666666678</v>
      </c>
      <c r="P15">
        <v>0.33206224316132882</v>
      </c>
      <c r="R15">
        <v>1.6991666666666658</v>
      </c>
      <c r="T15">
        <v>0.30796393891700036</v>
      </c>
    </row>
    <row r="16" spans="1:20" ht="15.75">
      <c r="A16" s="39"/>
      <c r="B16" s="46" t="s">
        <v>176</v>
      </c>
      <c r="C16">
        <v>28.31277</v>
      </c>
      <c r="D16">
        <v>28.58212</v>
      </c>
      <c r="E16">
        <v>28.288122999999999</v>
      </c>
      <c r="G16">
        <v>21.8231</v>
      </c>
      <c r="H16">
        <v>21.891200000000001</v>
      </c>
      <c r="I16">
        <v>21.582229999999999</v>
      </c>
      <c r="K16">
        <v>6.4896700000000003</v>
      </c>
      <c r="L16">
        <v>6.6909199999999984</v>
      </c>
      <c r="M16">
        <v>6.7058929999999997</v>
      </c>
      <c r="O16">
        <v>6.6288276666666661</v>
      </c>
      <c r="P16">
        <v>0.12074638639037266</v>
      </c>
      <c r="R16">
        <v>0.39032766666666419</v>
      </c>
      <c r="T16">
        <v>0.76295630122995794</v>
      </c>
    </row>
    <row r="17" spans="1:27" ht="15.75">
      <c r="A17" s="39"/>
      <c r="B17" s="46" t="s">
        <v>177</v>
      </c>
      <c r="C17">
        <v>33.593200000000003</v>
      </c>
      <c r="D17">
        <v>33.192830000000001</v>
      </c>
      <c r="E17">
        <v>33.682299999999998</v>
      </c>
      <c r="G17">
        <v>23.558199999999999</v>
      </c>
      <c r="H17">
        <v>23.138200000000001</v>
      </c>
      <c r="I17">
        <v>23.218340000000001</v>
      </c>
      <c r="K17">
        <v>10.035000000000004</v>
      </c>
      <c r="L17">
        <v>10.05463</v>
      </c>
      <c r="M17">
        <v>10.463959999999997</v>
      </c>
      <c r="O17">
        <v>10.184530000000001</v>
      </c>
      <c r="P17">
        <v>0.24219243980768385</v>
      </c>
      <c r="R17">
        <v>3.9460299999999986</v>
      </c>
      <c r="T17">
        <v>6.4882355204265885E-2</v>
      </c>
    </row>
    <row r="18" spans="1:27" ht="15.75">
      <c r="A18" s="39"/>
      <c r="W18" s="43"/>
      <c r="X18" s="43"/>
      <c r="Y18" s="43"/>
      <c r="Z18" s="43"/>
      <c r="AA18" s="43"/>
    </row>
    <row r="19" spans="1:27" ht="15.75">
      <c r="A19" s="39"/>
      <c r="W19" s="43"/>
      <c r="X19" s="43"/>
      <c r="Y19" s="43"/>
      <c r="Z19" s="43"/>
      <c r="AA19" s="43"/>
    </row>
    <row r="20" spans="1:27" ht="15.75">
      <c r="A20" s="39"/>
      <c r="B20" s="178" t="s">
        <v>178</v>
      </c>
      <c r="C20" s="169" t="s">
        <v>181</v>
      </c>
      <c r="D20" s="169"/>
      <c r="E20" s="169"/>
      <c r="F20" s="1"/>
      <c r="G20" s="169" t="s">
        <v>182</v>
      </c>
      <c r="H20" s="169"/>
      <c r="I20" s="169"/>
      <c r="J20" s="1"/>
      <c r="K20" s="45" t="s">
        <v>191</v>
      </c>
      <c r="L20" s="1"/>
      <c r="M20" s="1"/>
      <c r="N20" s="1"/>
      <c r="O20" s="1" t="s">
        <v>183</v>
      </c>
      <c r="P20" s="1" t="s">
        <v>184</v>
      </c>
      <c r="Q20" s="1"/>
      <c r="R20" s="1" t="s">
        <v>185</v>
      </c>
      <c r="S20" s="1"/>
      <c r="T20" s="1" t="s">
        <v>186</v>
      </c>
      <c r="W20" s="43"/>
      <c r="X20" s="43"/>
      <c r="Y20" s="43"/>
      <c r="Z20" s="43"/>
      <c r="AA20" s="43"/>
    </row>
    <row r="21" spans="1:27">
      <c r="A21" s="39">
        <v>3</v>
      </c>
      <c r="B21" s="178"/>
      <c r="C21" s="1" t="s">
        <v>187</v>
      </c>
      <c r="D21" s="1" t="s">
        <v>188</v>
      </c>
      <c r="E21" s="1" t="s">
        <v>189</v>
      </c>
      <c r="F21" s="1"/>
      <c r="G21" s="1" t="s">
        <v>190</v>
      </c>
      <c r="H21" s="1" t="s">
        <v>188</v>
      </c>
      <c r="I21" s="1" t="s">
        <v>189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7" ht="15.75">
      <c r="A22" s="39"/>
      <c r="B22" s="46" t="s">
        <v>174</v>
      </c>
      <c r="C22">
        <v>31.934000000000001</v>
      </c>
      <c r="D22">
        <v>31.059000000000001</v>
      </c>
      <c r="E22">
        <v>31.119</v>
      </c>
      <c r="G22">
        <v>25.39</v>
      </c>
      <c r="H22">
        <v>25.19</v>
      </c>
      <c r="I22">
        <v>25.93</v>
      </c>
      <c r="K22">
        <v>6.5440000000000005</v>
      </c>
      <c r="L22">
        <v>5.8689999999999998</v>
      </c>
      <c r="M22">
        <v>5.1890000000000001</v>
      </c>
      <c r="O22">
        <v>5.8665000000000003</v>
      </c>
      <c r="P22">
        <v>0.95812968850776614</v>
      </c>
      <c r="R22">
        <v>0</v>
      </c>
      <c r="T22">
        <v>1</v>
      </c>
    </row>
    <row r="23" spans="1:27" ht="15.75">
      <c r="A23" s="39"/>
      <c r="B23" s="46" t="s">
        <v>175</v>
      </c>
      <c r="C23">
        <v>28.484999999999999</v>
      </c>
      <c r="D23">
        <v>28.103000000000002</v>
      </c>
      <c r="E23">
        <v>28.555</v>
      </c>
      <c r="G23">
        <v>21.952999999999999</v>
      </c>
      <c r="H23">
        <v>21.425000000000001</v>
      </c>
      <c r="I23">
        <v>21.495000000000001</v>
      </c>
      <c r="K23">
        <v>6.532</v>
      </c>
      <c r="L23">
        <v>6.6780000000000008</v>
      </c>
      <c r="M23">
        <v>7.0599999999999987</v>
      </c>
      <c r="O23">
        <v>6.7566666666666668</v>
      </c>
      <c r="P23">
        <v>0.2726487361667625</v>
      </c>
      <c r="R23">
        <v>0.89016666666666655</v>
      </c>
      <c r="T23">
        <v>0.53955178318545483</v>
      </c>
    </row>
    <row r="24" spans="1:27" ht="15.75">
      <c r="A24" s="39"/>
      <c r="B24" s="46" t="s">
        <v>176</v>
      </c>
      <c r="C24">
        <v>28.843499999999999</v>
      </c>
      <c r="D24">
        <v>28.198329999999999</v>
      </c>
      <c r="E24">
        <v>28.783999999999999</v>
      </c>
      <c r="G24">
        <v>22.271799999999999</v>
      </c>
      <c r="H24">
        <v>22.318300000000001</v>
      </c>
      <c r="I24">
        <v>23.181229999999999</v>
      </c>
      <c r="K24">
        <v>6.5716999999999999</v>
      </c>
      <c r="L24">
        <v>5.8800299999999979</v>
      </c>
      <c r="M24">
        <v>5.6027699999999996</v>
      </c>
      <c r="O24">
        <v>6.0181666666666658</v>
      </c>
      <c r="P24">
        <v>0.49901667330193861</v>
      </c>
      <c r="R24">
        <v>0.15166666666666551</v>
      </c>
      <c r="T24">
        <v>0.90020989841811017</v>
      </c>
    </row>
    <row r="25" spans="1:27" ht="15.75">
      <c r="A25" s="39"/>
      <c r="B25" s="46" t="s">
        <v>177</v>
      </c>
      <c r="C25">
        <v>32.128300000000003</v>
      </c>
      <c r="D25">
        <v>32.318199999999997</v>
      </c>
      <c r="E25">
        <v>32.438429999999997</v>
      </c>
      <c r="G25">
        <v>24.51812</v>
      </c>
      <c r="H25">
        <v>24.381219999999999</v>
      </c>
      <c r="I25">
        <v>24.678229999999999</v>
      </c>
      <c r="K25">
        <v>7.6101800000000033</v>
      </c>
      <c r="L25">
        <v>7.9369799999999984</v>
      </c>
      <c r="M25">
        <v>7.7601999999999975</v>
      </c>
      <c r="O25">
        <v>7.76912</v>
      </c>
      <c r="P25">
        <v>0.16358250150917494</v>
      </c>
      <c r="R25">
        <v>1.9026199999999998</v>
      </c>
      <c r="T25">
        <v>0.26745720983452936</v>
      </c>
    </row>
    <row r="26" spans="1:27">
      <c r="A26" s="39"/>
    </row>
    <row r="27" spans="1:27">
      <c r="A27" s="39"/>
    </row>
    <row r="28" spans="1:27">
      <c r="A28" s="39"/>
      <c r="B28" s="178" t="s">
        <v>178</v>
      </c>
      <c r="C28" s="169" t="s">
        <v>181</v>
      </c>
      <c r="D28" s="169"/>
      <c r="E28" s="169"/>
      <c r="F28" s="1"/>
      <c r="G28" s="169" t="s">
        <v>182</v>
      </c>
      <c r="H28" s="169"/>
      <c r="I28" s="169"/>
      <c r="J28" s="1"/>
      <c r="K28" s="45" t="s">
        <v>191</v>
      </c>
      <c r="L28" s="1"/>
      <c r="M28" s="1"/>
      <c r="N28" s="1"/>
      <c r="O28" s="1" t="s">
        <v>183</v>
      </c>
      <c r="P28" s="1" t="s">
        <v>184</v>
      </c>
      <c r="Q28" s="1"/>
      <c r="R28" s="1" t="s">
        <v>185</v>
      </c>
      <c r="S28" s="1"/>
      <c r="T28" s="1" t="s">
        <v>186</v>
      </c>
    </row>
    <row r="29" spans="1:27">
      <c r="A29" s="39">
        <v>4</v>
      </c>
      <c r="B29" s="178"/>
      <c r="C29" s="1" t="s">
        <v>187</v>
      </c>
      <c r="D29" s="1" t="s">
        <v>188</v>
      </c>
      <c r="E29" s="1" t="s">
        <v>189</v>
      </c>
      <c r="F29" s="1"/>
      <c r="G29" s="1" t="s">
        <v>190</v>
      </c>
      <c r="H29" s="1" t="s">
        <v>188</v>
      </c>
      <c r="I29" s="1" t="s">
        <v>189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7" ht="15.75">
      <c r="A30" s="39"/>
      <c r="B30" s="46" t="s">
        <v>174</v>
      </c>
      <c r="C30">
        <v>31.359000000000002</v>
      </c>
      <c r="D30">
        <v>31.593</v>
      </c>
      <c r="E30">
        <v>31.311</v>
      </c>
      <c r="G30">
        <v>25.385000000000002</v>
      </c>
      <c r="H30">
        <v>25.992000000000001</v>
      </c>
      <c r="I30">
        <v>25.411999999999999</v>
      </c>
      <c r="K30">
        <v>5.9740000000000002</v>
      </c>
      <c r="L30">
        <v>5.6009999999999991</v>
      </c>
      <c r="M30">
        <v>5.8990000000000009</v>
      </c>
      <c r="O30">
        <v>5.9365000000000006</v>
      </c>
      <c r="P30">
        <v>5.3033008588990557E-2</v>
      </c>
      <c r="R30">
        <v>0</v>
      </c>
      <c r="T30">
        <v>1</v>
      </c>
    </row>
    <row r="31" spans="1:27" ht="15.75">
      <c r="A31" s="39"/>
      <c r="B31" s="46" t="s">
        <v>175</v>
      </c>
      <c r="C31">
        <v>29.984999999999999</v>
      </c>
      <c r="D31">
        <v>29.184000000000001</v>
      </c>
      <c r="E31">
        <v>29.498000000000001</v>
      </c>
      <c r="G31">
        <v>22.184000000000001</v>
      </c>
      <c r="H31">
        <v>22.25</v>
      </c>
      <c r="I31">
        <v>22.184000000000001</v>
      </c>
      <c r="K31">
        <v>7.8009999999999984</v>
      </c>
      <c r="L31">
        <v>6.9340000000000011</v>
      </c>
      <c r="M31">
        <v>7.3140000000000001</v>
      </c>
      <c r="O31">
        <v>7.3496666666666668</v>
      </c>
      <c r="P31">
        <v>0.43459904893284357</v>
      </c>
      <c r="R31">
        <v>1.4131666666666662</v>
      </c>
      <c r="T31">
        <v>0.37548660131635608</v>
      </c>
    </row>
    <row r="32" spans="1:27" ht="15.75">
      <c r="A32" s="39"/>
      <c r="B32" s="46" t="s">
        <v>176</v>
      </c>
      <c r="C32">
        <v>30.2834</v>
      </c>
      <c r="D32">
        <v>30.582999999999998</v>
      </c>
      <c r="E32">
        <v>30.119</v>
      </c>
      <c r="G32">
        <v>22.584599999999998</v>
      </c>
      <c r="H32">
        <v>22.559000000000001</v>
      </c>
      <c r="I32">
        <v>22.283999999999999</v>
      </c>
      <c r="K32">
        <v>7.6988000000000021</v>
      </c>
      <c r="L32">
        <v>8.0239999999999974</v>
      </c>
      <c r="M32">
        <v>7.8350000000000009</v>
      </c>
      <c r="O32">
        <v>7.8525999999999998</v>
      </c>
      <c r="P32">
        <v>0.16331282864490226</v>
      </c>
      <c r="R32">
        <v>1.9160999999999992</v>
      </c>
      <c r="T32">
        <v>0.26496982890379434</v>
      </c>
    </row>
    <row r="33" spans="1:20" ht="15.75">
      <c r="A33" s="39"/>
      <c r="B33" s="46" t="s">
        <v>177</v>
      </c>
      <c r="C33">
        <v>32.723300000000002</v>
      </c>
      <c r="D33">
        <v>32.128300000000003</v>
      </c>
      <c r="E33">
        <v>32.528300000000002</v>
      </c>
      <c r="G33">
        <v>23.688099999999999</v>
      </c>
      <c r="H33">
        <v>23.581821000000001</v>
      </c>
      <c r="I33">
        <v>23.118200000000002</v>
      </c>
      <c r="K33">
        <v>9.0352000000000032</v>
      </c>
      <c r="L33">
        <v>8.5464790000000015</v>
      </c>
      <c r="M33">
        <v>9.4100999999999999</v>
      </c>
      <c r="O33">
        <v>8.9972596666666682</v>
      </c>
      <c r="P33">
        <v>0.43305878305414003</v>
      </c>
      <c r="R33">
        <v>3.0607596666666677</v>
      </c>
      <c r="T33">
        <v>0.11984489267472606</v>
      </c>
    </row>
    <row r="34" spans="1:20">
      <c r="A34" s="39"/>
    </row>
    <row r="35" spans="1:20">
      <c r="A35" s="39"/>
    </row>
    <row r="36" spans="1:20">
      <c r="A36" s="39"/>
      <c r="B36" s="178" t="s">
        <v>178</v>
      </c>
      <c r="C36" s="169" t="s">
        <v>181</v>
      </c>
      <c r="D36" s="169"/>
      <c r="E36" s="169"/>
      <c r="F36" s="1"/>
      <c r="G36" s="169" t="s">
        <v>182</v>
      </c>
      <c r="H36" s="169"/>
      <c r="I36" s="169"/>
      <c r="J36" s="1"/>
      <c r="K36" s="45" t="s">
        <v>191</v>
      </c>
      <c r="L36" s="1"/>
      <c r="M36" s="1"/>
      <c r="N36" s="1"/>
      <c r="O36" s="1" t="s">
        <v>183</v>
      </c>
      <c r="P36" s="1" t="s">
        <v>184</v>
      </c>
      <c r="Q36" s="1"/>
      <c r="R36" s="1" t="s">
        <v>185</v>
      </c>
      <c r="S36" s="1"/>
      <c r="T36" s="1" t="s">
        <v>186</v>
      </c>
    </row>
    <row r="37" spans="1:20">
      <c r="A37" s="39">
        <v>5</v>
      </c>
      <c r="B37" s="178"/>
      <c r="C37" s="1" t="s">
        <v>187</v>
      </c>
      <c r="D37" s="1" t="s">
        <v>188</v>
      </c>
      <c r="E37" s="1" t="s">
        <v>189</v>
      </c>
      <c r="F37" s="1"/>
      <c r="G37" s="1" t="s">
        <v>190</v>
      </c>
      <c r="H37" s="1" t="s">
        <v>188</v>
      </c>
      <c r="I37" s="1" t="s">
        <v>189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.75">
      <c r="B38" s="46" t="s">
        <v>174</v>
      </c>
      <c r="C38">
        <v>31.532</v>
      </c>
      <c r="D38">
        <v>31.594000000000001</v>
      </c>
      <c r="E38">
        <v>31.228999999999999</v>
      </c>
      <c r="G38">
        <v>26.495000000000001</v>
      </c>
      <c r="H38">
        <v>26.395</v>
      </c>
      <c r="I38">
        <v>26.445</v>
      </c>
      <c r="K38">
        <v>5.036999999999999</v>
      </c>
      <c r="L38">
        <v>5.1990000000000016</v>
      </c>
      <c r="M38">
        <v>4.7839999999999989</v>
      </c>
      <c r="O38">
        <v>4.910499999999999</v>
      </c>
      <c r="P38">
        <v>0.17889801564019658</v>
      </c>
      <c r="R38">
        <v>0</v>
      </c>
      <c r="T38">
        <v>1</v>
      </c>
    </row>
    <row r="39" spans="1:20" ht="15.75">
      <c r="B39" s="46" t="s">
        <v>175</v>
      </c>
      <c r="C39">
        <v>30.85</v>
      </c>
      <c r="D39">
        <v>30.448</v>
      </c>
      <c r="E39">
        <v>30.148</v>
      </c>
      <c r="G39">
        <v>24.193999999999999</v>
      </c>
      <c r="H39">
        <v>24.395</v>
      </c>
      <c r="I39">
        <v>24.643999999999998</v>
      </c>
      <c r="K39">
        <v>6.6560000000000024</v>
      </c>
      <c r="L39">
        <v>6.0530000000000008</v>
      </c>
      <c r="M39">
        <v>5.5040000000000013</v>
      </c>
      <c r="O39">
        <v>6.0710000000000015</v>
      </c>
      <c r="P39">
        <v>0.57621089889032873</v>
      </c>
      <c r="R39">
        <v>1.1605000000000025</v>
      </c>
      <c r="T39">
        <v>0.44735746631086309</v>
      </c>
    </row>
    <row r="40" spans="1:20" ht="15.75">
      <c r="B40" s="46" t="s">
        <v>176</v>
      </c>
      <c r="C40">
        <v>28.837</v>
      </c>
      <c r="D40">
        <v>28.128</v>
      </c>
      <c r="E40">
        <v>28.635400000000001</v>
      </c>
      <c r="G40">
        <v>22.657</v>
      </c>
      <c r="H40">
        <v>22.184999999999999</v>
      </c>
      <c r="I40">
        <v>22.888999999999999</v>
      </c>
      <c r="K40">
        <v>6.18</v>
      </c>
      <c r="L40">
        <v>5.9430000000000014</v>
      </c>
      <c r="M40">
        <v>5.7464000000000013</v>
      </c>
      <c r="O40">
        <v>5.9564666666666675</v>
      </c>
      <c r="P40">
        <v>0.21711345728289846</v>
      </c>
      <c r="R40">
        <v>1.0459666666666685</v>
      </c>
      <c r="T40">
        <v>0.48432028465870025</v>
      </c>
    </row>
    <row r="41" spans="1:20" ht="15.75">
      <c r="B41" s="46" t="s">
        <v>177</v>
      </c>
      <c r="C41">
        <v>32.158000000000001</v>
      </c>
      <c r="D41">
        <v>32.191000000000003</v>
      </c>
      <c r="E41">
        <v>32.811</v>
      </c>
      <c r="G41">
        <v>24.943000000000001</v>
      </c>
      <c r="H41">
        <v>24.731999999999999</v>
      </c>
      <c r="I41">
        <v>24.128799999999998</v>
      </c>
      <c r="K41">
        <v>7.2149999999999999</v>
      </c>
      <c r="L41">
        <v>7.4590000000000032</v>
      </c>
      <c r="M41">
        <v>8.6822000000000017</v>
      </c>
      <c r="O41">
        <v>7.7854000000000019</v>
      </c>
      <c r="P41">
        <v>0.78617534939732148</v>
      </c>
      <c r="R41">
        <v>2.8749000000000029</v>
      </c>
      <c r="T41">
        <v>0.13632291544012903</v>
      </c>
    </row>
  </sheetData>
  <mergeCells count="16">
    <mergeCell ref="B36:B37"/>
    <mergeCell ref="C36:E36"/>
    <mergeCell ref="G36:I36"/>
    <mergeCell ref="B20:B21"/>
    <mergeCell ref="C20:E20"/>
    <mergeCell ref="G20:I20"/>
    <mergeCell ref="B28:B29"/>
    <mergeCell ref="C28:E28"/>
    <mergeCell ref="G28:I28"/>
    <mergeCell ref="C3:H3"/>
    <mergeCell ref="C4:E4"/>
    <mergeCell ref="G4:I4"/>
    <mergeCell ref="B4:B5"/>
    <mergeCell ref="B12:B13"/>
    <mergeCell ref="C12:E12"/>
    <mergeCell ref="G12:I12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zoomScale="77" zoomScaleNormal="77" workbookViewId="0"/>
  </sheetViews>
  <sheetFormatPr defaultRowHeight="15"/>
  <cols>
    <col min="1" max="1" width="23.85546875" customWidth="1"/>
    <col min="2" max="2" width="12.85546875" customWidth="1"/>
    <col min="3" max="3" width="13.28515625" customWidth="1"/>
    <col min="4" max="4" width="11.42578125" customWidth="1"/>
    <col min="5" max="5" width="13.140625" customWidth="1"/>
    <col min="6" max="6" width="12.28515625" customWidth="1"/>
    <col min="7" max="7" width="30" customWidth="1"/>
  </cols>
  <sheetData>
    <row r="1" spans="1:7">
      <c r="A1" t="s">
        <v>772</v>
      </c>
    </row>
    <row r="3" spans="1:7" ht="15.75">
      <c r="B3" s="177" t="s">
        <v>197</v>
      </c>
      <c r="C3" s="177"/>
      <c r="D3" s="177"/>
      <c r="E3" s="177"/>
      <c r="F3" s="177"/>
      <c r="G3" s="177"/>
    </row>
    <row r="4" spans="1:7">
      <c r="A4" s="48" t="s">
        <v>192</v>
      </c>
      <c r="B4" t="s">
        <v>541</v>
      </c>
      <c r="C4" t="s">
        <v>542</v>
      </c>
      <c r="D4" t="s">
        <v>543</v>
      </c>
      <c r="E4" t="s">
        <v>544</v>
      </c>
      <c r="F4" t="s">
        <v>545</v>
      </c>
    </row>
    <row r="5" spans="1:7" ht="15.75">
      <c r="A5" s="48" t="s">
        <v>169</v>
      </c>
      <c r="B5" s="43">
        <v>2767.8150000000001</v>
      </c>
      <c r="C5" s="43">
        <v>2612.3049999999998</v>
      </c>
      <c r="D5" s="43">
        <v>2069.2710000000002</v>
      </c>
      <c r="E5" s="43">
        <v>1748.8219999999999</v>
      </c>
      <c r="F5" s="43">
        <v>1761.3230000000001</v>
      </c>
      <c r="G5" s="49"/>
    </row>
    <row r="6" spans="1:7" ht="15.75">
      <c r="A6" s="48" t="s">
        <v>175</v>
      </c>
      <c r="B6" s="43">
        <v>633.92499999999995</v>
      </c>
      <c r="C6" s="43">
        <v>538.40499999999997</v>
      </c>
      <c r="D6" s="43">
        <v>802.29</v>
      </c>
      <c r="E6" s="43">
        <v>840.1857</v>
      </c>
      <c r="F6" s="43">
        <v>876.63649999999996</v>
      </c>
      <c r="G6" s="49"/>
    </row>
    <row r="7" spans="1:7" ht="15.75">
      <c r="A7" s="48" t="s">
        <v>176</v>
      </c>
      <c r="B7" s="43">
        <v>839.54600000000005</v>
      </c>
      <c r="C7" s="43">
        <v>756.34900000000005</v>
      </c>
      <c r="D7" s="43">
        <v>712.32899999999995</v>
      </c>
      <c r="E7" s="43">
        <v>593.29539999999997</v>
      </c>
      <c r="F7" s="43">
        <v>659.43600000000004</v>
      </c>
      <c r="G7" s="49"/>
    </row>
    <row r="8" spans="1:7" ht="15.75">
      <c r="A8" s="48" t="s">
        <v>177</v>
      </c>
      <c r="B8" s="43">
        <v>43.244999999999997</v>
      </c>
      <c r="C8" s="43">
        <v>38.923000000000002</v>
      </c>
      <c r="D8" s="43">
        <v>12.4396</v>
      </c>
      <c r="E8" s="43">
        <v>41.96</v>
      </c>
      <c r="F8" s="43">
        <v>86.235399999999998</v>
      </c>
      <c r="G8" s="49"/>
    </row>
    <row r="9" spans="1:7" ht="15.75">
      <c r="B9" s="47"/>
      <c r="C9" s="47"/>
      <c r="D9" s="47"/>
      <c r="E9" s="47"/>
      <c r="F9" s="47"/>
    </row>
  </sheetData>
  <mergeCells count="1">
    <mergeCell ref="B3:G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12"/>
  <sheetViews>
    <sheetView zoomScale="68" zoomScaleNormal="68" workbookViewId="0">
      <selection activeCell="A2" sqref="A2"/>
    </sheetView>
  </sheetViews>
  <sheetFormatPr defaultRowHeight="15"/>
  <cols>
    <col min="1" max="1" width="21" customWidth="1"/>
    <col min="2" max="2" width="18.42578125" customWidth="1"/>
    <col min="3" max="3" width="22.42578125" customWidth="1"/>
    <col min="4" max="4" width="17.140625" customWidth="1"/>
    <col min="5" max="5" width="11.140625" customWidth="1"/>
  </cols>
  <sheetData>
    <row r="2" spans="1:8" ht="15.75">
      <c r="A2" s="41" t="s">
        <v>773</v>
      </c>
    </row>
    <row r="5" spans="1:8" ht="15.75">
      <c r="A5" s="48"/>
      <c r="B5" s="177" t="s">
        <v>196</v>
      </c>
      <c r="C5" s="177"/>
      <c r="D5" s="177"/>
      <c r="E5" s="177"/>
      <c r="F5" s="177"/>
      <c r="G5" s="177"/>
      <c r="H5" s="177"/>
    </row>
    <row r="6" spans="1:8" ht="15.75">
      <c r="A6" s="48"/>
      <c r="B6" s="50"/>
      <c r="C6" s="50"/>
      <c r="D6" s="50"/>
      <c r="E6" s="50"/>
      <c r="F6" s="50"/>
      <c r="G6" s="49"/>
    </row>
    <row r="7" spans="1:8" ht="18">
      <c r="A7" s="48"/>
      <c r="B7" s="52" t="s">
        <v>193</v>
      </c>
      <c r="C7" s="52" t="s">
        <v>194</v>
      </c>
      <c r="D7" s="52" t="s">
        <v>195</v>
      </c>
      <c r="E7" s="53"/>
      <c r="F7" s="50"/>
      <c r="G7" s="49"/>
    </row>
    <row r="8" spans="1:8" ht="18">
      <c r="A8" s="48"/>
      <c r="B8" s="54">
        <v>1864.69</v>
      </c>
      <c r="C8" s="54">
        <v>129.18</v>
      </c>
      <c r="D8" s="54">
        <v>84.23</v>
      </c>
      <c r="E8" s="53"/>
      <c r="F8" s="50"/>
      <c r="G8" s="49"/>
    </row>
    <row r="9" spans="1:8" ht="18">
      <c r="A9" s="48"/>
      <c r="B9" s="54">
        <v>2984.64</v>
      </c>
      <c r="C9" s="54">
        <v>87.29</v>
      </c>
      <c r="D9" s="54">
        <v>193.34</v>
      </c>
      <c r="E9" s="53"/>
      <c r="F9" s="50"/>
      <c r="G9" s="49"/>
    </row>
    <row r="10" spans="1:8" ht="18.75">
      <c r="B10" s="54">
        <v>2586.11</v>
      </c>
      <c r="C10" s="54">
        <v>49.69</v>
      </c>
      <c r="D10" s="54">
        <v>72.19</v>
      </c>
      <c r="E10" s="55"/>
      <c r="F10" s="39"/>
    </row>
    <row r="11" spans="1:8" ht="18.75">
      <c r="B11" s="54">
        <v>2196.3000000000002</v>
      </c>
      <c r="C11" s="54">
        <v>24.34</v>
      </c>
      <c r="D11" s="54">
        <v>19.21</v>
      </c>
      <c r="E11" s="56"/>
    </row>
    <row r="12" spans="1:8" ht="18.75">
      <c r="B12" s="54">
        <v>1954.23</v>
      </c>
      <c r="C12" s="54">
        <v>44.58</v>
      </c>
      <c r="D12" s="54">
        <v>72.19</v>
      </c>
      <c r="E12" s="56"/>
    </row>
    <row r="13" spans="1:8" ht="18.75">
      <c r="B13" s="54">
        <v>985.48</v>
      </c>
      <c r="C13" s="54">
        <v>83.95</v>
      </c>
      <c r="D13" s="54">
        <v>68.92</v>
      </c>
      <c r="E13" s="56"/>
    </row>
    <row r="14" spans="1:8" ht="18.75">
      <c r="B14" s="54">
        <v>1832.18</v>
      </c>
      <c r="C14" s="54">
        <v>94.58</v>
      </c>
      <c r="D14" s="54">
        <v>291.35000000000002</v>
      </c>
      <c r="E14" s="56"/>
    </row>
    <row r="15" spans="1:8" ht="18.75">
      <c r="B15" s="54">
        <v>2218.19</v>
      </c>
      <c r="C15" s="54">
        <v>128.35</v>
      </c>
      <c r="D15" s="54">
        <v>68.92</v>
      </c>
      <c r="E15" s="56"/>
    </row>
    <row r="16" spans="1:8" ht="18.75">
      <c r="B16" s="54">
        <v>2154.39</v>
      </c>
      <c r="C16" s="54">
        <v>202.56</v>
      </c>
      <c r="D16" s="54">
        <v>28.48</v>
      </c>
      <c r="E16" s="56"/>
    </row>
    <row r="17" spans="2:5" ht="18.75">
      <c r="B17" s="54">
        <v>1924.21</v>
      </c>
      <c r="C17" s="54">
        <v>48.83</v>
      </c>
      <c r="D17" s="54">
        <v>103.64</v>
      </c>
      <c r="E17" s="56"/>
    </row>
    <row r="18" spans="2:5" ht="18.75">
      <c r="B18" s="54">
        <v>1738.34</v>
      </c>
      <c r="C18" s="54">
        <v>28.58</v>
      </c>
      <c r="D18" s="54">
        <v>67.84</v>
      </c>
      <c r="E18" s="56"/>
    </row>
    <row r="19" spans="2:5" ht="18.75">
      <c r="B19" s="54">
        <v>983.18</v>
      </c>
      <c r="C19" s="54">
        <v>69.25</v>
      </c>
      <c r="D19" s="54">
        <v>58.82</v>
      </c>
      <c r="E19" s="56"/>
    </row>
    <row r="20" spans="2:5" ht="18.75">
      <c r="B20" s="54"/>
      <c r="C20" s="54">
        <v>49.28</v>
      </c>
      <c r="D20" s="54">
        <v>65.400000000000006</v>
      </c>
      <c r="E20" s="56"/>
    </row>
    <row r="21" spans="2:5" ht="18.75">
      <c r="B21" s="54"/>
      <c r="C21" s="54">
        <v>55.24</v>
      </c>
      <c r="D21" s="54">
        <v>86.39</v>
      </c>
      <c r="E21" s="56"/>
    </row>
    <row r="22" spans="2:5" ht="18.75">
      <c r="B22" s="54"/>
      <c r="C22" s="54">
        <v>67.83</v>
      </c>
      <c r="D22" s="54">
        <v>63.12</v>
      </c>
      <c r="E22" s="56"/>
    </row>
    <row r="23" spans="2:5" ht="18.75">
      <c r="B23" s="54"/>
      <c r="C23" s="54">
        <v>58.68</v>
      </c>
      <c r="D23" s="54">
        <v>291.35000000000002</v>
      </c>
      <c r="E23" s="56"/>
    </row>
    <row r="24" spans="2:5" ht="18.75">
      <c r="B24" s="54"/>
      <c r="C24" s="54">
        <v>24.58</v>
      </c>
      <c r="D24" s="54">
        <v>103.5</v>
      </c>
      <c r="E24" s="56"/>
    </row>
    <row r="25" spans="2:5" ht="18.75">
      <c r="B25" s="54"/>
      <c r="C25" s="54">
        <v>21.45</v>
      </c>
      <c r="D25" s="54">
        <v>201.34</v>
      </c>
      <c r="E25" s="56"/>
    </row>
    <row r="26" spans="2:5" ht="18.75">
      <c r="B26" s="54"/>
      <c r="C26" s="54">
        <v>75.83</v>
      </c>
      <c r="D26" s="54">
        <v>137.33000000000001</v>
      </c>
      <c r="E26" s="56"/>
    </row>
    <row r="27" spans="2:5" ht="18.75">
      <c r="B27" s="54"/>
      <c r="C27" s="54">
        <v>44.68</v>
      </c>
      <c r="D27" s="54">
        <v>211.34</v>
      </c>
      <c r="E27" s="56"/>
    </row>
    <row r="28" spans="2:5" ht="18.75">
      <c r="B28" s="54"/>
      <c r="C28" s="54">
        <v>18.29</v>
      </c>
      <c r="D28" s="54">
        <v>57.45</v>
      </c>
      <c r="E28" s="56"/>
    </row>
    <row r="29" spans="2:5" ht="18.75">
      <c r="B29" s="54"/>
      <c r="C29" s="54">
        <v>56.82</v>
      </c>
      <c r="D29" s="54">
        <v>68.38</v>
      </c>
      <c r="E29" s="56"/>
    </row>
    <row r="30" spans="2:5" ht="18.75">
      <c r="B30" s="54"/>
      <c r="C30" s="54">
        <v>48.57</v>
      </c>
      <c r="D30" s="54">
        <v>64.92</v>
      </c>
      <c r="E30" s="56"/>
    </row>
    <row r="31" spans="2:5" ht="18.75">
      <c r="B31" s="54"/>
      <c r="C31" s="54">
        <v>67.19</v>
      </c>
      <c r="D31" s="54">
        <v>42.11</v>
      </c>
      <c r="E31" s="56"/>
    </row>
    <row r="32" spans="2:5" ht="18.75">
      <c r="B32" s="54"/>
      <c r="C32" s="54">
        <v>48.65</v>
      </c>
      <c r="D32" s="54">
        <v>83.82</v>
      </c>
      <c r="E32" s="56"/>
    </row>
    <row r="33" spans="2:5" ht="18.75">
      <c r="B33" s="54"/>
      <c r="C33" s="54">
        <v>11.8</v>
      </c>
      <c r="D33" s="54">
        <v>193.34</v>
      </c>
      <c r="E33" s="56"/>
    </row>
    <row r="34" spans="2:5" ht="18.75">
      <c r="B34" s="54"/>
      <c r="C34" s="54">
        <v>86.28</v>
      </c>
      <c r="D34" s="54">
        <v>83.19</v>
      </c>
      <c r="E34" s="56"/>
    </row>
    <row r="35" spans="2:5" ht="18.75">
      <c r="B35" s="54"/>
      <c r="C35" s="54">
        <v>68.22</v>
      </c>
      <c r="D35" s="54">
        <v>63.5</v>
      </c>
      <c r="E35" s="56"/>
    </row>
    <row r="36" spans="2:5" ht="18.75">
      <c r="B36" s="54"/>
      <c r="C36" s="54">
        <v>103.45</v>
      </c>
      <c r="D36" s="54">
        <v>93.52</v>
      </c>
      <c r="E36" s="56"/>
    </row>
    <row r="37" spans="2:5" ht="18.75">
      <c r="B37" s="54"/>
      <c r="C37" s="54">
        <v>183.53</v>
      </c>
      <c r="D37" s="54">
        <v>75.64</v>
      </c>
      <c r="E37" s="56"/>
    </row>
    <row r="38" spans="2:5" ht="18.75">
      <c r="B38" s="54"/>
      <c r="C38" s="54">
        <v>173.49</v>
      </c>
      <c r="D38" s="54">
        <v>86.38</v>
      </c>
      <c r="E38" s="56"/>
    </row>
    <row r="39" spans="2:5" ht="18.75">
      <c r="B39" s="54"/>
      <c r="C39" s="54">
        <v>158.28</v>
      </c>
      <c r="D39" s="54">
        <v>193.34</v>
      </c>
      <c r="E39" s="56"/>
    </row>
    <row r="40" spans="2:5" ht="18.75">
      <c r="B40" s="54"/>
      <c r="C40" s="54">
        <v>204.55</v>
      </c>
      <c r="D40" s="54">
        <v>84.23</v>
      </c>
      <c r="E40" s="56"/>
    </row>
    <row r="41" spans="2:5" ht="18.75">
      <c r="B41" s="54"/>
      <c r="C41" s="54">
        <v>68.790000000000006</v>
      </c>
      <c r="D41" s="54">
        <v>38.29</v>
      </c>
      <c r="E41" s="56"/>
    </row>
    <row r="42" spans="2:5" ht="18.75">
      <c r="B42" s="54"/>
      <c r="C42" s="54">
        <v>38.85</v>
      </c>
      <c r="D42" s="54">
        <v>43.11</v>
      </c>
      <c r="E42" s="56"/>
    </row>
    <row r="43" spans="2:5" ht="18.75">
      <c r="B43" s="54"/>
      <c r="C43" s="54"/>
      <c r="D43" s="54">
        <v>72.19</v>
      </c>
      <c r="E43" s="56"/>
    </row>
    <row r="44" spans="2:5" ht="18.75">
      <c r="B44" s="54"/>
      <c r="C44" s="54"/>
      <c r="D44" s="54">
        <v>58.23</v>
      </c>
      <c r="E44" s="56"/>
    </row>
    <row r="45" spans="2:5" ht="18.75">
      <c r="B45" s="54"/>
      <c r="C45" s="54"/>
      <c r="D45" s="54">
        <v>64.92</v>
      </c>
      <c r="E45" s="56"/>
    </row>
    <row r="46" spans="2:5" ht="18.75">
      <c r="B46" s="54"/>
      <c r="C46" s="54"/>
      <c r="D46" s="54">
        <v>86.29</v>
      </c>
      <c r="E46" s="56"/>
    </row>
    <row r="47" spans="2:5" ht="18.75">
      <c r="B47" s="54"/>
      <c r="C47" s="54"/>
      <c r="D47" s="54">
        <v>68.92</v>
      </c>
      <c r="E47" s="56"/>
    </row>
    <row r="48" spans="2:5" ht="18.75">
      <c r="B48" s="54"/>
      <c r="C48" s="54"/>
      <c r="D48" s="54">
        <v>67.27</v>
      </c>
      <c r="E48" s="56"/>
    </row>
    <row r="49" spans="2:5" ht="18.75">
      <c r="B49" s="54"/>
      <c r="C49" s="54"/>
      <c r="D49" s="54">
        <v>19.45</v>
      </c>
      <c r="E49" s="56"/>
    </row>
    <row r="50" spans="2:5" ht="18.75">
      <c r="B50" s="54"/>
      <c r="C50" s="54"/>
      <c r="D50" s="54">
        <v>11.29</v>
      </c>
      <c r="E50" s="56"/>
    </row>
    <row r="51" spans="2:5" ht="18.75">
      <c r="B51" s="54"/>
      <c r="C51" s="54"/>
      <c r="D51" s="54">
        <v>127.47</v>
      </c>
      <c r="E51" s="56"/>
    </row>
    <row r="52" spans="2:5" ht="18.75">
      <c r="B52" s="54"/>
      <c r="C52" s="54"/>
      <c r="D52" s="54">
        <v>134.80000000000001</v>
      </c>
      <c r="E52" s="56"/>
    </row>
    <row r="53" spans="2:5" ht="18.75">
      <c r="B53" s="54"/>
      <c r="C53" s="54"/>
      <c r="D53" s="54">
        <v>143.12</v>
      </c>
      <c r="E53" s="56"/>
    </row>
    <row r="54" spans="2:5" ht="18.75">
      <c r="B54" s="54"/>
      <c r="C54" s="54"/>
      <c r="D54" s="54">
        <v>65.3</v>
      </c>
      <c r="E54" s="56"/>
    </row>
    <row r="55" spans="2:5" ht="18.75">
      <c r="B55" s="54"/>
      <c r="C55" s="54"/>
      <c r="D55" s="54">
        <v>148.13</v>
      </c>
      <c r="E55" s="56"/>
    </row>
    <row r="56" spans="2:5" ht="18.75">
      <c r="B56" s="54"/>
      <c r="C56" s="54"/>
      <c r="D56" s="54">
        <v>103.64</v>
      </c>
      <c r="E56" s="56"/>
    </row>
    <row r="57" spans="2:5" ht="18.75">
      <c r="B57" s="54"/>
      <c r="C57" s="54"/>
      <c r="D57" s="54">
        <v>291.35000000000002</v>
      </c>
      <c r="E57" s="56"/>
    </row>
    <row r="58" spans="2:5" ht="18.75">
      <c r="B58" s="54"/>
      <c r="C58" s="54"/>
      <c r="D58" s="54">
        <v>153.1</v>
      </c>
      <c r="E58" s="56"/>
    </row>
    <row r="59" spans="2:5" ht="18.75">
      <c r="B59" s="54"/>
      <c r="C59" s="54"/>
      <c r="D59" s="54">
        <v>120.59</v>
      </c>
      <c r="E59" s="56"/>
    </row>
    <row r="60" spans="2:5" ht="18.75">
      <c r="B60" s="54"/>
      <c r="C60" s="54"/>
      <c r="D60" s="54">
        <v>88.19</v>
      </c>
      <c r="E60" s="56"/>
    </row>
    <row r="61" spans="2:5" ht="18.75">
      <c r="B61" s="54"/>
      <c r="C61" s="54"/>
      <c r="D61" s="54">
        <v>23.48</v>
      </c>
      <c r="E61" s="56"/>
    </row>
    <row r="62" spans="2:5" ht="18.75">
      <c r="B62" s="54"/>
      <c r="C62" s="54"/>
      <c r="D62" s="54">
        <v>55.93</v>
      </c>
      <c r="E62" s="56"/>
    </row>
    <row r="63" spans="2:5" ht="18.75">
      <c r="B63" s="54"/>
      <c r="C63" s="54"/>
      <c r="D63" s="54">
        <v>32.19</v>
      </c>
      <c r="E63" s="56"/>
    </row>
    <row r="64" spans="2:5" ht="18.75">
      <c r="B64" s="54"/>
      <c r="C64" s="54"/>
      <c r="D64" s="54">
        <v>27.48</v>
      </c>
      <c r="E64" s="56"/>
    </row>
    <row r="65" spans="2:5" ht="18.75">
      <c r="B65" s="54"/>
      <c r="C65" s="54"/>
      <c r="D65" s="54">
        <v>65.290000000000006</v>
      </c>
      <c r="E65" s="56"/>
    </row>
    <row r="66" spans="2:5" ht="18.75">
      <c r="B66" s="54"/>
      <c r="C66" s="54"/>
      <c r="D66" s="54">
        <v>65.930000000000007</v>
      </c>
      <c r="E66" s="56"/>
    </row>
    <row r="67" spans="2:5" ht="18.75">
      <c r="B67" s="54"/>
      <c r="C67" s="54"/>
      <c r="D67" s="54">
        <v>93.59</v>
      </c>
      <c r="E67" s="56"/>
    </row>
    <row r="68" spans="2:5" ht="18.75">
      <c r="B68" s="54"/>
      <c r="C68" s="54"/>
      <c r="D68" s="54">
        <v>105.42</v>
      </c>
      <c r="E68" s="56"/>
    </row>
    <row r="69" spans="2:5" ht="18.75">
      <c r="B69" s="54"/>
      <c r="C69" s="54"/>
      <c r="D69" s="54">
        <v>128.29</v>
      </c>
      <c r="E69" s="56"/>
    </row>
    <row r="70" spans="2:5" ht="18.75">
      <c r="B70" s="54"/>
      <c r="C70" s="54"/>
      <c r="D70" s="54">
        <v>133.29</v>
      </c>
      <c r="E70" s="56"/>
    </row>
    <row r="71" spans="2:5" ht="18.75">
      <c r="B71" s="54"/>
      <c r="C71" s="54"/>
      <c r="D71" s="54">
        <v>109.54</v>
      </c>
      <c r="E71" s="56"/>
    </row>
    <row r="72" spans="2:5" ht="18.75">
      <c r="B72" s="54"/>
      <c r="C72" s="54"/>
      <c r="D72" s="54">
        <v>63.29</v>
      </c>
      <c r="E72" s="56"/>
    </row>
    <row r="73" spans="2:5" ht="18.75">
      <c r="B73" s="54"/>
      <c r="C73" s="54"/>
      <c r="D73" s="54">
        <v>49.32</v>
      </c>
      <c r="E73" s="56"/>
    </row>
    <row r="74" spans="2:5" ht="18.75">
      <c r="B74" s="54"/>
      <c r="C74" s="54"/>
      <c r="D74" s="54">
        <v>92.49</v>
      </c>
      <c r="E74" s="56"/>
    </row>
    <row r="75" spans="2:5" ht="18.75">
      <c r="B75" s="54"/>
      <c r="C75" s="54"/>
      <c r="D75" s="54">
        <v>56.38</v>
      </c>
      <c r="E75" s="56"/>
    </row>
    <row r="76" spans="2:5" ht="18.75">
      <c r="B76" s="54"/>
      <c r="C76" s="54"/>
      <c r="D76" s="54">
        <v>38.19</v>
      </c>
      <c r="E76" s="56"/>
    </row>
    <row r="77" spans="2:5" ht="18.75">
      <c r="B77" s="54"/>
      <c r="C77" s="54"/>
      <c r="D77" s="54">
        <v>73.680000000000007</v>
      </c>
      <c r="E77" s="56"/>
    </row>
    <row r="78" spans="2:5" ht="18.75">
      <c r="B78" s="54"/>
      <c r="C78" s="54"/>
      <c r="D78" s="54">
        <v>63.29</v>
      </c>
      <c r="E78" s="56"/>
    </row>
    <row r="79" spans="2:5" ht="18.75">
      <c r="B79" s="54"/>
      <c r="C79" s="54"/>
      <c r="D79" s="54">
        <v>87.05</v>
      </c>
      <c r="E79" s="56"/>
    </row>
    <row r="80" spans="2:5" ht="18.75">
      <c r="B80" s="54"/>
      <c r="C80" s="54"/>
      <c r="D80" s="54">
        <v>45.29</v>
      </c>
      <c r="E80" s="56"/>
    </row>
    <row r="81" spans="2:5" ht="18.75">
      <c r="B81" s="54"/>
      <c r="C81" s="54"/>
      <c r="D81" s="54">
        <v>123.1</v>
      </c>
      <c r="E81" s="56"/>
    </row>
    <row r="82" spans="2:5" ht="18.75">
      <c r="B82" s="54"/>
      <c r="C82" s="54"/>
      <c r="D82" s="54">
        <v>12.29</v>
      </c>
      <c r="E82" s="56"/>
    </row>
    <row r="83" spans="2:5" ht="18.75">
      <c r="B83" s="54"/>
      <c r="C83" s="54"/>
      <c r="D83" s="54">
        <v>43.19</v>
      </c>
      <c r="E83" s="56"/>
    </row>
    <row r="84" spans="2:5" ht="18.75">
      <c r="B84" s="54"/>
      <c r="C84" s="54"/>
      <c r="D84" s="54">
        <v>34.6</v>
      </c>
      <c r="E84" s="56"/>
    </row>
    <row r="85" spans="2:5" ht="18.75">
      <c r="B85" s="54"/>
      <c r="C85" s="54"/>
      <c r="D85" s="54">
        <v>37.049999999999997</v>
      </c>
      <c r="E85" s="56"/>
    </row>
    <row r="86" spans="2:5" ht="18.75">
      <c r="B86" s="54"/>
      <c r="C86" s="54"/>
      <c r="D86" s="54">
        <v>22.39</v>
      </c>
      <c r="E86" s="56"/>
    </row>
    <row r="87" spans="2:5" ht="18.75">
      <c r="B87" s="54"/>
      <c r="C87" s="54"/>
      <c r="D87" s="54">
        <v>56.3</v>
      </c>
      <c r="E87" s="56"/>
    </row>
    <row r="88" spans="2:5" ht="18.75">
      <c r="B88" s="54"/>
      <c r="C88" s="54"/>
      <c r="D88" s="54">
        <v>45.1</v>
      </c>
      <c r="E88" s="56"/>
    </row>
    <row r="89" spans="2:5" ht="18.75">
      <c r="B89" s="54"/>
      <c r="C89" s="54"/>
      <c r="D89" s="54">
        <v>83.19</v>
      </c>
      <c r="E89" s="56"/>
    </row>
    <row r="90" spans="2:5" ht="18.75">
      <c r="B90" s="54"/>
      <c r="C90" s="54"/>
      <c r="D90" s="54">
        <v>45.39</v>
      </c>
      <c r="E90" s="56"/>
    </row>
    <row r="91" spans="2:5" ht="18.75">
      <c r="B91" s="54"/>
      <c r="C91" s="54"/>
      <c r="D91" s="54">
        <v>84.51</v>
      </c>
      <c r="E91" s="56"/>
    </row>
    <row r="92" spans="2:5" ht="18.75">
      <c r="B92" s="54"/>
      <c r="C92" s="54"/>
      <c r="D92" s="54">
        <v>89.38</v>
      </c>
      <c r="E92" s="56"/>
    </row>
    <row r="93" spans="2:5" ht="18.75">
      <c r="B93" s="54"/>
      <c r="C93" s="54"/>
      <c r="D93" s="54">
        <v>65.03</v>
      </c>
      <c r="E93" s="56"/>
    </row>
    <row r="94" spans="2:5" ht="18.75">
      <c r="B94" s="54"/>
      <c r="C94" s="54"/>
      <c r="D94" s="54">
        <v>134.1</v>
      </c>
      <c r="E94" s="56"/>
    </row>
    <row r="95" spans="2:5" ht="18.75">
      <c r="B95" s="54"/>
      <c r="C95" s="54"/>
      <c r="D95" s="54">
        <v>93.72</v>
      </c>
      <c r="E95" s="56"/>
    </row>
    <row r="96" spans="2:5" ht="18.75">
      <c r="B96" s="54"/>
      <c r="C96" s="54"/>
      <c r="D96" s="54">
        <v>61.6</v>
      </c>
      <c r="E96" s="56"/>
    </row>
    <row r="97" spans="2:5" ht="18.75">
      <c r="B97" s="54"/>
      <c r="C97" s="54"/>
      <c r="D97" s="54">
        <v>43.2</v>
      </c>
      <c r="E97" s="56"/>
    </row>
    <row r="98" spans="2:5" ht="18.75">
      <c r="B98" s="54"/>
      <c r="C98" s="54"/>
      <c r="D98" s="54">
        <v>155.69999999999999</v>
      </c>
      <c r="E98" s="56"/>
    </row>
    <row r="99" spans="2:5" ht="18.75">
      <c r="B99" s="54"/>
      <c r="C99" s="54"/>
      <c r="D99" s="54">
        <v>104.5</v>
      </c>
      <c r="E99" s="56"/>
    </row>
    <row r="100" spans="2:5" ht="18.75">
      <c r="B100" s="54"/>
      <c r="C100" s="54"/>
      <c r="D100" s="54">
        <v>86.03</v>
      </c>
      <c r="E100" s="56"/>
    </row>
    <row r="101" spans="2:5" ht="18.75">
      <c r="B101" s="54"/>
      <c r="C101" s="54"/>
      <c r="D101" s="54">
        <v>31.46</v>
      </c>
      <c r="E101" s="56"/>
    </row>
    <row r="102" spans="2:5" ht="18.75">
      <c r="B102" s="54"/>
      <c r="C102" s="54"/>
      <c r="D102" s="54">
        <v>88.35</v>
      </c>
      <c r="E102" s="56"/>
    </row>
    <row r="103" spans="2:5" ht="18.75">
      <c r="B103" s="54"/>
      <c r="C103" s="54"/>
      <c r="D103" s="54">
        <v>106.39</v>
      </c>
      <c r="E103" s="56"/>
    </row>
    <row r="104" spans="2:5" ht="18.75">
      <c r="B104" s="54"/>
      <c r="C104" s="54"/>
      <c r="D104" s="54">
        <v>28.58</v>
      </c>
      <c r="E104" s="56"/>
    </row>
    <row r="105" spans="2:5" ht="18.75">
      <c r="B105" s="54"/>
      <c r="C105" s="54"/>
      <c r="D105" s="54">
        <v>136.94</v>
      </c>
      <c r="E105" s="56"/>
    </row>
    <row r="106" spans="2:5" ht="18.75">
      <c r="B106" s="54"/>
      <c r="C106" s="54"/>
      <c r="D106" s="54">
        <v>96.23</v>
      </c>
      <c r="E106" s="56"/>
    </row>
    <row r="107" spans="2:5" ht="18.75">
      <c r="B107" s="54"/>
      <c r="C107" s="54"/>
      <c r="D107" s="54">
        <v>64.510000000000005</v>
      </c>
      <c r="E107" s="56"/>
    </row>
    <row r="108" spans="2:5" ht="18.75">
      <c r="B108" s="54"/>
      <c r="C108" s="54"/>
      <c r="D108" s="54">
        <v>33.72</v>
      </c>
      <c r="E108" s="56"/>
    </row>
    <row r="109" spans="2:5" ht="18.75">
      <c r="B109" s="54"/>
      <c r="C109" s="54"/>
      <c r="D109" s="54">
        <v>99.63</v>
      </c>
      <c r="E109" s="56"/>
    </row>
    <row r="110" spans="2:5" ht="18.75">
      <c r="B110" s="54"/>
      <c r="C110" s="54"/>
      <c r="D110" s="54">
        <v>79.319999999999993</v>
      </c>
      <c r="E110" s="56"/>
    </row>
    <row r="111" spans="2:5" ht="18.75">
      <c r="B111" s="56"/>
      <c r="C111" s="56"/>
      <c r="D111" s="56"/>
      <c r="E111" s="56"/>
    </row>
    <row r="112" spans="2:5" ht="18.75">
      <c r="B112" s="56"/>
      <c r="C112" s="56"/>
      <c r="D112" s="56"/>
      <c r="E112" s="56"/>
    </row>
  </sheetData>
  <mergeCells count="1">
    <mergeCell ref="B5:H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76"/>
  <sheetViews>
    <sheetView workbookViewId="0">
      <selection activeCell="A2" sqref="A2"/>
    </sheetView>
  </sheetViews>
  <sheetFormatPr defaultRowHeight="15"/>
  <cols>
    <col min="4" max="4" width="21.42578125" customWidth="1"/>
    <col min="5" max="5" width="25.28515625" customWidth="1"/>
    <col min="6" max="6" width="20.42578125" customWidth="1"/>
  </cols>
  <sheetData>
    <row r="2" spans="1:10" ht="15.75">
      <c r="A2" s="41" t="s">
        <v>774</v>
      </c>
    </row>
    <row r="4" spans="1:10" ht="15.75">
      <c r="D4" s="177" t="s">
        <v>418</v>
      </c>
      <c r="E4" s="177"/>
      <c r="F4" s="177"/>
      <c r="G4" s="177"/>
      <c r="H4" s="177"/>
      <c r="I4" s="177"/>
      <c r="J4" s="177"/>
    </row>
    <row r="5" spans="1:10" ht="15.75">
      <c r="D5" s="50"/>
      <c r="E5" s="50"/>
      <c r="F5" s="50"/>
      <c r="G5" s="50"/>
      <c r="H5" s="50"/>
      <c r="I5" s="49"/>
    </row>
    <row r="6" spans="1:10" ht="18">
      <c r="D6" s="52" t="s">
        <v>193</v>
      </c>
      <c r="E6" s="52" t="s">
        <v>198</v>
      </c>
      <c r="F6" s="52" t="s">
        <v>199</v>
      </c>
      <c r="G6" s="53"/>
      <c r="H6" s="50"/>
      <c r="I6" s="49"/>
    </row>
    <row r="7" spans="1:10" ht="15.75">
      <c r="D7" s="43">
        <v>0.89539999999999997</v>
      </c>
      <c r="E7" s="43">
        <v>0.43959999999999999</v>
      </c>
      <c r="F7" s="43">
        <v>9.3399999999999997E-2</v>
      </c>
    </row>
    <row r="8" spans="1:10" ht="15.75">
      <c r="D8" s="43">
        <v>0.95420000000000005</v>
      </c>
      <c r="E8" s="43">
        <v>0.39300000000000002</v>
      </c>
      <c r="F8" s="43">
        <v>0.123</v>
      </c>
    </row>
    <row r="9" spans="1:10" ht="15.75">
      <c r="D9" s="43">
        <v>0.749</v>
      </c>
      <c r="E9" s="43">
        <v>0.154</v>
      </c>
      <c r="F9" s="43">
        <v>0.21099999999999999</v>
      </c>
    </row>
    <row r="10" spans="1:10" ht="15.75">
      <c r="D10" s="43">
        <v>0.68300000000000005</v>
      </c>
      <c r="E10" s="43">
        <v>0.45200000000000001</v>
      </c>
      <c r="F10" s="43">
        <v>6.9000000000000006E-2</v>
      </c>
    </row>
    <row r="11" spans="1:10" ht="15.75">
      <c r="D11" s="43">
        <v>0.98599999999999999</v>
      </c>
      <c r="E11" s="43">
        <v>0.21229999999999999</v>
      </c>
      <c r="F11" s="43">
        <v>9.5000000000000001E-2</v>
      </c>
    </row>
    <row r="12" spans="1:10" ht="15.75">
      <c r="D12" s="43">
        <v>0.76600000000000001</v>
      </c>
      <c r="E12" s="43">
        <v>0.32400000000000001</v>
      </c>
      <c r="F12" s="43">
        <v>8.7499999999999994E-2</v>
      </c>
    </row>
    <row r="13" spans="1:10" ht="15.75">
      <c r="D13" s="43">
        <v>0.63900000000000001</v>
      </c>
      <c r="E13" s="43">
        <v>0.23499999999999999</v>
      </c>
      <c r="F13" s="43">
        <v>0.113</v>
      </c>
    </row>
    <row r="14" spans="1:10" ht="15.75">
      <c r="D14" s="43">
        <v>0.72299999999999998</v>
      </c>
      <c r="E14" s="43">
        <v>0.28129999999999999</v>
      </c>
      <c r="F14" s="43">
        <v>0.16400000000000001</v>
      </c>
    </row>
    <row r="15" spans="1:10" ht="15.75">
      <c r="D15" s="43">
        <v>0.53900000000000003</v>
      </c>
      <c r="E15" s="43">
        <v>0.33200000000000002</v>
      </c>
      <c r="F15" s="43">
        <v>0.14799999999999999</v>
      </c>
    </row>
    <row r="16" spans="1:10" ht="15.75">
      <c r="D16" s="43">
        <v>0.84299999999999997</v>
      </c>
      <c r="E16" s="43">
        <v>0.42799999999999999</v>
      </c>
      <c r="F16" s="43">
        <v>7.8E-2</v>
      </c>
    </row>
    <row r="17" spans="4:6" ht="15.75">
      <c r="D17" s="43">
        <v>0.79800000000000004</v>
      </c>
      <c r="E17" s="43">
        <v>0.57199999999999995</v>
      </c>
      <c r="F17" s="43">
        <v>8.5000000000000006E-2</v>
      </c>
    </row>
    <row r="18" spans="4:6" ht="15.75">
      <c r="D18" s="43">
        <v>0.86399999999999999</v>
      </c>
      <c r="E18" s="43">
        <v>0.224</v>
      </c>
      <c r="F18" s="43">
        <v>6.9000000000000006E-2</v>
      </c>
    </row>
    <row r="19" spans="4:6" ht="15.75">
      <c r="D19" s="47"/>
      <c r="E19" s="43">
        <v>0.41199999999999998</v>
      </c>
      <c r="F19" s="43">
        <v>0.05</v>
      </c>
    </row>
    <row r="20" spans="4:6" ht="15.75">
      <c r="D20" s="47"/>
      <c r="E20" s="43">
        <v>0.23400000000000001</v>
      </c>
      <c r="F20" s="43">
        <v>0.214</v>
      </c>
    </row>
    <row r="21" spans="4:6" ht="15.75">
      <c r="D21" s="47"/>
      <c r="E21" s="43">
        <v>0.123</v>
      </c>
      <c r="F21" s="43">
        <v>0.16800000000000001</v>
      </c>
    </row>
    <row r="22" spans="4:6" ht="15.75">
      <c r="D22" s="47"/>
      <c r="E22" s="43">
        <v>9.4E-2</v>
      </c>
      <c r="F22" s="43">
        <v>0.124</v>
      </c>
    </row>
    <row r="23" spans="4:6" ht="15.75">
      <c r="D23" s="47"/>
      <c r="E23" s="43">
        <v>0.125</v>
      </c>
      <c r="F23" s="43">
        <v>6.9000000000000006E-2</v>
      </c>
    </row>
    <row r="24" spans="4:6" ht="15.75">
      <c r="D24" s="47"/>
      <c r="E24" s="43">
        <v>0.221</v>
      </c>
      <c r="F24" s="43">
        <v>3.4000000000000002E-2</v>
      </c>
    </row>
    <row r="25" spans="4:6" ht="15.75">
      <c r="D25" s="47"/>
      <c r="E25" s="43">
        <v>0.24399999999999999</v>
      </c>
      <c r="F25" s="43">
        <v>0.59</v>
      </c>
    </row>
    <row r="26" spans="4:6" ht="15.75">
      <c r="D26" s="47"/>
      <c r="E26" s="43">
        <v>0.311</v>
      </c>
      <c r="F26" s="43">
        <v>5.3999999999999999E-2</v>
      </c>
    </row>
    <row r="27" spans="4:6" ht="15.75">
      <c r="D27" s="47"/>
      <c r="E27" s="43">
        <v>0.221</v>
      </c>
      <c r="F27" s="43">
        <v>2.4E-2</v>
      </c>
    </row>
    <row r="28" spans="4:6" ht="15.75">
      <c r="D28" s="47"/>
      <c r="E28" s="43">
        <v>0.121</v>
      </c>
      <c r="F28" s="43">
        <v>8.5000000000000006E-2</v>
      </c>
    </row>
    <row r="29" spans="4:6" ht="15.75">
      <c r="D29" s="47"/>
      <c r="E29" s="43">
        <v>0.23400000000000001</v>
      </c>
      <c r="F29" s="43">
        <v>0.18429999999999999</v>
      </c>
    </row>
    <row r="30" spans="4:6" ht="15.75">
      <c r="D30" s="47"/>
      <c r="E30" s="43">
        <v>0.111</v>
      </c>
      <c r="F30" s="43">
        <v>0.08</v>
      </c>
    </row>
    <row r="31" spans="4:6" ht="15.75">
      <c r="D31" s="47"/>
      <c r="E31" s="43">
        <v>0.23400000000000001</v>
      </c>
      <c r="F31" s="43">
        <v>0.1323</v>
      </c>
    </row>
    <row r="32" spans="4:6" ht="15.75">
      <c r="D32" s="47"/>
      <c r="E32" s="43">
        <v>0.21099999999999999</v>
      </c>
      <c r="F32" s="43">
        <v>0.35</v>
      </c>
    </row>
    <row r="33" spans="4:6" ht="15.75">
      <c r="D33" s="47"/>
      <c r="E33" s="43">
        <v>0.252</v>
      </c>
      <c r="F33" s="43">
        <v>0.35799999999999998</v>
      </c>
    </row>
    <row r="34" spans="4:6" ht="15.75">
      <c r="D34" s="47"/>
      <c r="E34" s="43">
        <v>0.21199999999999999</v>
      </c>
      <c r="F34" s="43">
        <v>0.33200000000000002</v>
      </c>
    </row>
    <row r="35" spans="4:6" ht="15.75">
      <c r="D35" s="47"/>
      <c r="E35" s="43">
        <v>0.23100000000000001</v>
      </c>
      <c r="F35" s="43">
        <v>0.435</v>
      </c>
    </row>
    <row r="36" spans="4:6" ht="15.75">
      <c r="D36" s="47"/>
      <c r="E36" s="43">
        <v>0.33500000000000002</v>
      </c>
      <c r="F36" s="47"/>
    </row>
    <row r="37" spans="4:6" ht="15.75">
      <c r="D37" s="47"/>
      <c r="E37" s="43">
        <v>0.112</v>
      </c>
      <c r="F37" s="47"/>
    </row>
    <row r="38" spans="4:6" ht="15.75">
      <c r="D38" s="47"/>
      <c r="E38" s="43">
        <v>0.158</v>
      </c>
      <c r="F38" s="47"/>
    </row>
    <row r="39" spans="4:6" ht="15.75">
      <c r="D39" s="47"/>
      <c r="E39" s="43">
        <v>0.14299999999999999</v>
      </c>
      <c r="F39" s="47"/>
    </row>
    <row r="40" spans="4:6" ht="15.75">
      <c r="D40" s="47"/>
      <c r="E40" s="43">
        <v>0.14199999999999999</v>
      </c>
      <c r="F40" s="47"/>
    </row>
    <row r="41" spans="4:6" ht="15.75">
      <c r="D41" s="47"/>
      <c r="E41" s="43">
        <v>0.215</v>
      </c>
      <c r="F41" s="47"/>
    </row>
    <row r="42" spans="4:6" ht="15.75">
      <c r="D42" s="47"/>
      <c r="E42" s="43">
        <v>0.311</v>
      </c>
      <c r="F42" s="47"/>
    </row>
    <row r="43" spans="4:6" ht="15.75">
      <c r="D43" s="47"/>
      <c r="E43" s="43">
        <v>9.4E-2</v>
      </c>
      <c r="F43" s="47"/>
    </row>
    <row r="44" spans="4:6" ht="15.75">
      <c r="D44" s="47"/>
      <c r="E44" s="43">
        <v>0.253</v>
      </c>
      <c r="F44" s="47"/>
    </row>
    <row r="45" spans="4:6" ht="15.75">
      <c r="D45" s="47"/>
      <c r="E45" s="43">
        <v>0.125</v>
      </c>
      <c r="F45" s="47"/>
    </row>
    <row r="46" spans="4:6" ht="15.75">
      <c r="D46" s="47"/>
      <c r="E46" s="43">
        <v>0.16</v>
      </c>
      <c r="F46" s="47"/>
    </row>
    <row r="47" spans="4:6" ht="15.75">
      <c r="D47" s="47"/>
      <c r="E47" s="43">
        <v>8.5000000000000006E-2</v>
      </c>
      <c r="F47" s="47"/>
    </row>
    <row r="48" spans="4:6" ht="15.75">
      <c r="D48" s="47"/>
      <c r="E48" s="43">
        <v>2.9000000000000001E-2</v>
      </c>
      <c r="F48" s="47"/>
    </row>
    <row r="49" spans="4:6" ht="15.75">
      <c r="D49" s="47"/>
      <c r="E49" s="43">
        <v>0.113</v>
      </c>
      <c r="F49" s="47"/>
    </row>
    <row r="50" spans="4:6" ht="15.75">
      <c r="D50" s="47"/>
      <c r="E50" s="43">
        <v>9.4E-2</v>
      </c>
      <c r="F50" s="47"/>
    </row>
    <row r="51" spans="4:6" ht="15.75">
      <c r="D51" s="47"/>
      <c r="E51" s="43">
        <v>0.221</v>
      </c>
      <c r="F51" s="47"/>
    </row>
    <row r="52" spans="4:6" ht="15.75">
      <c r="D52" s="47"/>
      <c r="E52" s="43">
        <v>0.26800000000000002</v>
      </c>
      <c r="F52" s="47"/>
    </row>
    <row r="53" spans="4:6" ht="15.75">
      <c r="D53" s="47"/>
      <c r="E53" s="43">
        <v>5.8000000000000003E-2</v>
      </c>
      <c r="F53" s="47"/>
    </row>
    <row r="54" spans="4:6" ht="15.75">
      <c r="D54" s="47"/>
      <c r="E54" s="43">
        <v>0.219</v>
      </c>
      <c r="F54" s="47"/>
    </row>
    <row r="55" spans="4:6" ht="15.75">
      <c r="D55" s="47"/>
      <c r="E55" s="43">
        <v>4.9000000000000002E-2</v>
      </c>
      <c r="F55" s="47"/>
    </row>
    <row r="56" spans="4:6" ht="15.75">
      <c r="D56" s="47"/>
      <c r="E56" s="43">
        <v>0.112</v>
      </c>
      <c r="F56" s="47"/>
    </row>
    <row r="57" spans="4:6" ht="15.75">
      <c r="D57" s="47"/>
      <c r="E57" s="43">
        <v>1.9E-2</v>
      </c>
      <c r="F57" s="47"/>
    </row>
    <row r="58" spans="4:6" ht="15.75">
      <c r="D58" s="47"/>
      <c r="E58" s="43">
        <v>3.7999999999999999E-2</v>
      </c>
      <c r="F58" s="47"/>
    </row>
    <row r="59" spans="4:6" ht="15.75">
      <c r="D59" s="47"/>
      <c r="E59" s="43">
        <v>8.5000000000000006E-2</v>
      </c>
      <c r="F59" s="47"/>
    </row>
    <row r="60" spans="4:6" ht="15.75">
      <c r="D60" s="47"/>
      <c r="E60" s="43">
        <v>0.153</v>
      </c>
      <c r="F60" s="47"/>
    </row>
    <row r="61" spans="4:6" ht="15.75">
      <c r="D61" s="47"/>
      <c r="E61" s="43">
        <v>0.128</v>
      </c>
      <c r="F61" s="47"/>
    </row>
    <row r="62" spans="4:6" ht="15.75">
      <c r="D62" s="47"/>
      <c r="E62" s="43">
        <v>0.31</v>
      </c>
      <c r="F62" s="47"/>
    </row>
    <row r="63" spans="4:6" ht="15.75">
      <c r="D63" s="47"/>
      <c r="E63" s="43">
        <v>0.124</v>
      </c>
      <c r="F63" s="47"/>
    </row>
    <row r="64" spans="4:6" ht="15.75">
      <c r="D64" s="47"/>
      <c r="E64" s="43">
        <v>0.312</v>
      </c>
      <c r="F64" s="47"/>
    </row>
    <row r="65" spans="4:6" ht="15.75">
      <c r="D65" s="47"/>
      <c r="E65" s="43">
        <v>0.41199999999999998</v>
      </c>
      <c r="F65" s="47"/>
    </row>
    <row r="66" spans="4:6" ht="15.75">
      <c r="D66" s="47"/>
      <c r="E66" s="43">
        <v>0.315</v>
      </c>
      <c r="F66" s="47"/>
    </row>
    <row r="67" spans="4:6" ht="15.75">
      <c r="D67" s="47"/>
      <c r="E67" s="43">
        <v>0.249</v>
      </c>
      <c r="F67" s="47"/>
    </row>
    <row r="68" spans="4:6" ht="15.75">
      <c r="D68" s="47"/>
      <c r="E68" s="43">
        <v>0.24099999999999999</v>
      </c>
      <c r="F68" s="47"/>
    </row>
    <row r="69" spans="4:6" ht="15.75">
      <c r="D69" s="47"/>
      <c r="E69" s="43">
        <v>0.33100000000000002</v>
      </c>
      <c r="F69" s="47"/>
    </row>
    <row r="70" spans="4:6" ht="15.75">
      <c r="D70" s="47"/>
      <c r="E70" s="43">
        <v>0.26200000000000001</v>
      </c>
      <c r="F70" s="47"/>
    </row>
    <row r="71" spans="4:6" ht="15.75">
      <c r="D71" s="47"/>
      <c r="E71" s="43">
        <v>0.312</v>
      </c>
      <c r="F71" s="47"/>
    </row>
    <row r="72" spans="4:6" ht="15.75">
      <c r="D72" s="47"/>
      <c r="E72" s="43">
        <v>0.33100000000000002</v>
      </c>
      <c r="F72" s="47"/>
    </row>
    <row r="73" spans="4:6" ht="15.75">
      <c r="D73" s="47"/>
      <c r="E73" s="43">
        <v>0.215</v>
      </c>
      <c r="F73" s="47"/>
    </row>
    <row r="74" spans="4:6" ht="15.75">
      <c r="D74" s="47"/>
      <c r="E74" s="43">
        <v>0.214</v>
      </c>
      <c r="F74" s="47"/>
    </row>
    <row r="75" spans="4:6" ht="15.75">
      <c r="D75" s="47"/>
      <c r="E75" s="43">
        <v>0.55400000000000005</v>
      </c>
      <c r="F75" s="47"/>
    </row>
    <row r="76" spans="4:6" ht="15.75">
      <c r="D76" s="47"/>
      <c r="E76" s="47"/>
      <c r="F76" s="47"/>
    </row>
  </sheetData>
  <mergeCells count="1">
    <mergeCell ref="D4:J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C21"/>
  <sheetViews>
    <sheetView workbookViewId="0">
      <selection activeCell="A3" sqref="A3"/>
    </sheetView>
  </sheetViews>
  <sheetFormatPr defaultRowHeight="15"/>
  <sheetData>
    <row r="3" spans="1:29">
      <c r="A3" s="1" t="s">
        <v>775</v>
      </c>
    </row>
    <row r="4" spans="1:29">
      <c r="B4" s="169" t="s">
        <v>174</v>
      </c>
      <c r="C4" s="169"/>
      <c r="D4" s="169"/>
      <c r="E4" s="169"/>
      <c r="F4" s="169"/>
      <c r="G4" s="169"/>
      <c r="I4" s="169" t="s">
        <v>175</v>
      </c>
      <c r="J4" s="169"/>
      <c r="K4" s="169"/>
      <c r="L4" s="169"/>
      <c r="M4" s="169"/>
      <c r="N4" s="169"/>
      <c r="P4" s="170" t="s">
        <v>204</v>
      </c>
      <c r="Q4" s="171"/>
      <c r="R4" s="171"/>
      <c r="S4" s="171"/>
      <c r="T4" s="171"/>
      <c r="U4" s="171"/>
      <c r="W4" s="169" t="s">
        <v>203</v>
      </c>
      <c r="X4" s="171"/>
      <c r="Y4" s="171"/>
      <c r="Z4" s="171"/>
      <c r="AA4" s="171"/>
      <c r="AB4" s="171"/>
    </row>
    <row r="5" spans="1:29">
      <c r="A5" s="1" t="s">
        <v>201</v>
      </c>
      <c r="B5" s="8"/>
      <c r="C5" s="21" t="s">
        <v>4</v>
      </c>
      <c r="D5" s="21" t="s">
        <v>5</v>
      </c>
      <c r="E5" s="21" t="s">
        <v>6</v>
      </c>
      <c r="F5" s="21" t="s">
        <v>7</v>
      </c>
      <c r="G5" s="21" t="s">
        <v>8</v>
      </c>
      <c r="H5" s="8"/>
      <c r="I5" s="8"/>
      <c r="J5" s="21" t="s">
        <v>4</v>
      </c>
      <c r="K5" s="21" t="s">
        <v>5</v>
      </c>
      <c r="L5" s="21" t="s">
        <v>6</v>
      </c>
      <c r="M5" s="21" t="s">
        <v>7</v>
      </c>
      <c r="N5" s="21" t="s">
        <v>8</v>
      </c>
      <c r="O5" s="8"/>
      <c r="P5" s="8"/>
      <c r="Q5" s="21" t="s">
        <v>4</v>
      </c>
      <c r="R5" s="21" t="s">
        <v>5</v>
      </c>
      <c r="S5" s="21" t="s">
        <v>6</v>
      </c>
      <c r="T5" s="21" t="s">
        <v>7</v>
      </c>
      <c r="U5" s="21" t="s">
        <v>8</v>
      </c>
      <c r="V5" s="8"/>
      <c r="W5" s="8"/>
      <c r="X5" s="21" t="s">
        <v>4</v>
      </c>
      <c r="Y5" s="21" t="s">
        <v>5</v>
      </c>
      <c r="Z5" s="21" t="s">
        <v>6</v>
      </c>
      <c r="AA5" s="21" t="s">
        <v>7</v>
      </c>
      <c r="AB5" s="21" t="s">
        <v>8</v>
      </c>
      <c r="AC5" s="8"/>
    </row>
    <row r="6" spans="1:29">
      <c r="B6" s="21" t="s">
        <v>1</v>
      </c>
      <c r="C6" s="8">
        <v>0</v>
      </c>
      <c r="D6" s="8">
        <v>0</v>
      </c>
      <c r="E6" s="8">
        <v>0</v>
      </c>
      <c r="F6" s="8">
        <v>0</v>
      </c>
      <c r="G6" s="8">
        <v>0</v>
      </c>
      <c r="H6" s="8"/>
      <c r="I6" s="21" t="s">
        <v>1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/>
      <c r="P6" s="21" t="s">
        <v>1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/>
      <c r="W6" s="21" t="s">
        <v>1</v>
      </c>
      <c r="X6" s="8">
        <v>0</v>
      </c>
      <c r="Y6" s="8">
        <v>0</v>
      </c>
      <c r="Z6" s="8">
        <v>0</v>
      </c>
      <c r="AA6" s="8">
        <v>0</v>
      </c>
      <c r="AB6" s="8">
        <v>0</v>
      </c>
      <c r="AC6" s="8"/>
    </row>
    <row r="7" spans="1:29">
      <c r="B7" s="21" t="s">
        <v>2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/>
      <c r="I7" s="21" t="s">
        <v>2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/>
      <c r="P7" s="21" t="s">
        <v>2</v>
      </c>
      <c r="Q7" s="8">
        <v>0</v>
      </c>
      <c r="R7" s="8">
        <v>0</v>
      </c>
      <c r="S7" s="8">
        <v>0</v>
      </c>
      <c r="T7" s="8">
        <v>0</v>
      </c>
      <c r="U7" s="8">
        <v>0</v>
      </c>
      <c r="V7" s="8"/>
      <c r="W7" s="21" t="s">
        <v>2</v>
      </c>
      <c r="X7" s="8">
        <v>0</v>
      </c>
      <c r="Y7" s="8">
        <v>0</v>
      </c>
      <c r="Z7" s="8">
        <v>0</v>
      </c>
      <c r="AA7" s="8">
        <v>0</v>
      </c>
      <c r="AB7" s="8">
        <v>0</v>
      </c>
      <c r="AC7" s="8"/>
    </row>
    <row r="8" spans="1:29">
      <c r="B8" s="21" t="s">
        <v>3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/>
      <c r="I8" s="21" t="s">
        <v>3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/>
      <c r="P8" s="21" t="s">
        <v>3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/>
      <c r="W8" s="21" t="s">
        <v>3</v>
      </c>
      <c r="X8" s="8">
        <v>0</v>
      </c>
      <c r="Y8" s="8">
        <v>0</v>
      </c>
      <c r="Z8" s="8">
        <v>0</v>
      </c>
      <c r="AA8" s="8">
        <v>0</v>
      </c>
      <c r="AB8" s="8">
        <v>0</v>
      </c>
      <c r="AC8" s="8"/>
    </row>
    <row r="9" spans="1:29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</row>
    <row r="10" spans="1:29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</row>
    <row r="11" spans="1:29">
      <c r="A11" s="1" t="s">
        <v>202</v>
      </c>
      <c r="B11" s="8"/>
      <c r="C11" s="21" t="s">
        <v>4</v>
      </c>
      <c r="D11" s="21" t="s">
        <v>5</v>
      </c>
      <c r="E11" s="21" t="s">
        <v>6</v>
      </c>
      <c r="F11" s="21" t="s">
        <v>7</v>
      </c>
      <c r="G11" s="21" t="s">
        <v>8</v>
      </c>
      <c r="H11" s="8"/>
      <c r="I11" s="8"/>
      <c r="J11" s="21" t="s">
        <v>4</v>
      </c>
      <c r="K11" s="21" t="s">
        <v>5</v>
      </c>
      <c r="L11" s="21" t="s">
        <v>6</v>
      </c>
      <c r="M11" s="21" t="s">
        <v>7</v>
      </c>
      <c r="N11" s="21" t="s">
        <v>8</v>
      </c>
      <c r="O11" s="8"/>
      <c r="P11" s="8"/>
      <c r="Q11" s="21" t="s">
        <v>4</v>
      </c>
      <c r="R11" s="21" t="s">
        <v>5</v>
      </c>
      <c r="S11" s="21" t="s">
        <v>6</v>
      </c>
      <c r="T11" s="21" t="s">
        <v>7</v>
      </c>
      <c r="U11" s="21" t="s">
        <v>8</v>
      </c>
      <c r="V11" s="8"/>
      <c r="W11" s="8"/>
      <c r="X11" s="21" t="s">
        <v>4</v>
      </c>
      <c r="Y11" s="21" t="s">
        <v>5</v>
      </c>
      <c r="Z11" s="21" t="s">
        <v>6</v>
      </c>
      <c r="AA11" s="21" t="s">
        <v>7</v>
      </c>
      <c r="AB11" s="21" t="s">
        <v>8</v>
      </c>
      <c r="AC11" s="8"/>
    </row>
    <row r="12" spans="1:29">
      <c r="B12" s="21" t="s">
        <v>1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/>
      <c r="I12" s="21" t="s">
        <v>1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/>
      <c r="P12" s="21" t="s">
        <v>1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/>
      <c r="W12" s="21" t="s">
        <v>1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/>
    </row>
    <row r="13" spans="1:29">
      <c r="B13" s="21" t="s">
        <v>2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/>
      <c r="I13" s="21" t="s">
        <v>2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/>
      <c r="P13" s="21" t="s">
        <v>2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/>
      <c r="W13" s="21" t="s">
        <v>2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/>
    </row>
    <row r="14" spans="1:29">
      <c r="B14" s="21" t="s">
        <v>3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/>
      <c r="I14" s="21" t="s">
        <v>3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/>
      <c r="P14" s="21" t="s">
        <v>3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/>
      <c r="W14" s="21" t="s">
        <v>3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/>
    </row>
    <row r="15" spans="1:29"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</row>
    <row r="16" spans="1:29"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</row>
    <row r="17" spans="1:29">
      <c r="A17" s="1" t="s">
        <v>200</v>
      </c>
      <c r="B17" s="8"/>
      <c r="C17" s="21" t="s">
        <v>4</v>
      </c>
      <c r="D17" s="21" t="s">
        <v>5</v>
      </c>
      <c r="E17" s="21" t="s">
        <v>6</v>
      </c>
      <c r="F17" s="21" t="s">
        <v>7</v>
      </c>
      <c r="G17" s="21" t="s">
        <v>8</v>
      </c>
      <c r="H17" s="8"/>
      <c r="I17" s="8"/>
      <c r="J17" s="21" t="s">
        <v>4</v>
      </c>
      <c r="K17" s="21" t="s">
        <v>5</v>
      </c>
      <c r="L17" s="21" t="s">
        <v>6</v>
      </c>
      <c r="M17" s="21" t="s">
        <v>7</v>
      </c>
      <c r="N17" s="21" t="s">
        <v>8</v>
      </c>
      <c r="O17" s="8"/>
      <c r="P17" s="8"/>
      <c r="Q17" s="21" t="s">
        <v>4</v>
      </c>
      <c r="R17" s="21" t="s">
        <v>5</v>
      </c>
      <c r="S17" s="21" t="s">
        <v>6</v>
      </c>
      <c r="T17" s="21" t="s">
        <v>7</v>
      </c>
      <c r="U17" s="21" t="s">
        <v>8</v>
      </c>
      <c r="V17" s="8"/>
      <c r="W17" s="8"/>
      <c r="X17" s="21" t="s">
        <v>4</v>
      </c>
      <c r="Y17" s="21" t="s">
        <v>5</v>
      </c>
      <c r="Z17" s="21" t="s">
        <v>6</v>
      </c>
      <c r="AA17" s="21" t="s">
        <v>7</v>
      </c>
      <c r="AB17" s="21" t="s">
        <v>8</v>
      </c>
      <c r="AC17" s="8"/>
    </row>
    <row r="18" spans="1:29">
      <c r="B18" s="21" t="s">
        <v>1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/>
      <c r="I18" s="21" t="s">
        <v>1</v>
      </c>
      <c r="J18" s="8">
        <v>2.5</v>
      </c>
      <c r="K18" s="8">
        <v>3.5</v>
      </c>
      <c r="L18" s="8">
        <v>4.2</v>
      </c>
      <c r="M18" s="8">
        <v>3.7</v>
      </c>
      <c r="N18" s="8">
        <v>5.7</v>
      </c>
      <c r="O18" s="8"/>
      <c r="P18" s="21" t="s">
        <v>1</v>
      </c>
      <c r="Q18" s="8">
        <v>3.1</v>
      </c>
      <c r="R18" s="8">
        <v>5.2</v>
      </c>
      <c r="S18" s="8">
        <v>3.9</v>
      </c>
      <c r="T18" s="8">
        <v>4.0999999999999996</v>
      </c>
      <c r="U18" s="8">
        <v>5.6</v>
      </c>
      <c r="V18" s="8"/>
      <c r="W18" s="21" t="s">
        <v>1</v>
      </c>
      <c r="X18" s="8">
        <v>5.2</v>
      </c>
      <c r="Y18" s="8">
        <v>5.4</v>
      </c>
      <c r="Z18" s="8">
        <v>6.4</v>
      </c>
      <c r="AA18" s="8">
        <v>5.5</v>
      </c>
      <c r="AB18" s="8">
        <v>7.5</v>
      </c>
      <c r="AC18" s="8"/>
    </row>
    <row r="19" spans="1:29">
      <c r="B19" s="21" t="s">
        <v>2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/>
      <c r="I19" s="21" t="s">
        <v>2</v>
      </c>
      <c r="J19" s="8">
        <v>1.6</v>
      </c>
      <c r="K19" s="8">
        <v>4.0999999999999996</v>
      </c>
      <c r="L19" s="8">
        <v>3.8</v>
      </c>
      <c r="M19" s="8">
        <v>4.8</v>
      </c>
      <c r="N19" s="8">
        <v>6.4</v>
      </c>
      <c r="O19" s="8"/>
      <c r="P19" s="21" t="s">
        <v>2</v>
      </c>
      <c r="Q19" s="8">
        <v>5.7</v>
      </c>
      <c r="R19" s="8">
        <v>3.7</v>
      </c>
      <c r="S19" s="8">
        <v>4.3</v>
      </c>
      <c r="T19" s="8">
        <v>5.6</v>
      </c>
      <c r="U19" s="8">
        <v>5.4</v>
      </c>
      <c r="V19" s="8"/>
      <c r="W19" s="21" t="s">
        <v>2</v>
      </c>
      <c r="X19" s="8">
        <v>4.3</v>
      </c>
      <c r="Y19" s="8">
        <v>6.3</v>
      </c>
      <c r="Z19" s="8">
        <v>7.3</v>
      </c>
      <c r="AA19" s="8">
        <v>5.6</v>
      </c>
      <c r="AB19" s="8">
        <v>7.4</v>
      </c>
      <c r="AC19" s="8"/>
    </row>
    <row r="20" spans="1:29">
      <c r="B20" s="21" t="s">
        <v>3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/>
      <c r="I20" s="21" t="s">
        <v>3</v>
      </c>
      <c r="J20" s="8">
        <f t="shared" ref="J20:N20" si="0">J18*J19</f>
        <v>4</v>
      </c>
      <c r="K20" s="8">
        <f t="shared" si="0"/>
        <v>14.349999999999998</v>
      </c>
      <c r="L20" s="8">
        <f t="shared" si="0"/>
        <v>15.959999999999999</v>
      </c>
      <c r="M20" s="8">
        <f t="shared" si="0"/>
        <v>17.760000000000002</v>
      </c>
      <c r="N20" s="8">
        <f t="shared" si="0"/>
        <v>36.480000000000004</v>
      </c>
      <c r="O20" s="8"/>
      <c r="P20" s="21" t="s">
        <v>3</v>
      </c>
      <c r="Q20" s="8">
        <f t="shared" ref="Q20:U20" si="1">Q18*Q19</f>
        <v>17.670000000000002</v>
      </c>
      <c r="R20" s="8">
        <f t="shared" si="1"/>
        <v>19.240000000000002</v>
      </c>
      <c r="S20" s="8">
        <f t="shared" si="1"/>
        <v>16.77</v>
      </c>
      <c r="T20" s="8">
        <f t="shared" si="1"/>
        <v>22.959999999999997</v>
      </c>
      <c r="U20" s="8">
        <f t="shared" si="1"/>
        <v>30.24</v>
      </c>
      <c r="V20" s="8"/>
      <c r="W20" s="21" t="s">
        <v>3</v>
      </c>
      <c r="X20" s="8">
        <f t="shared" ref="X20:AB20" si="2">X18*X19</f>
        <v>22.36</v>
      </c>
      <c r="Y20" s="8">
        <f t="shared" si="2"/>
        <v>34.020000000000003</v>
      </c>
      <c r="Z20" s="8">
        <f t="shared" si="2"/>
        <v>46.72</v>
      </c>
      <c r="AA20" s="8">
        <f t="shared" si="2"/>
        <v>30.799999999999997</v>
      </c>
      <c r="AB20" s="8">
        <f t="shared" si="2"/>
        <v>55.5</v>
      </c>
      <c r="AC20" s="8"/>
    </row>
    <row r="21" spans="1:29"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</row>
  </sheetData>
  <mergeCells count="4">
    <mergeCell ref="B4:G4"/>
    <mergeCell ref="I4:N4"/>
    <mergeCell ref="P4:U4"/>
    <mergeCell ref="W4:AB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Y53"/>
  <sheetViews>
    <sheetView workbookViewId="0">
      <selection activeCell="A3" sqref="A3"/>
    </sheetView>
  </sheetViews>
  <sheetFormatPr defaultRowHeight="15"/>
  <cols>
    <col min="1" max="1" width="22.140625" style="148" customWidth="1"/>
    <col min="2" max="6" width="9.140625" style="148"/>
    <col min="7" max="16384" width="9.140625" style="8"/>
  </cols>
  <sheetData>
    <row r="3" spans="1:25">
      <c r="A3" s="147" t="s">
        <v>776</v>
      </c>
    </row>
    <row r="4" spans="1:25">
      <c r="A4" s="147" t="s">
        <v>167</v>
      </c>
      <c r="B4" s="175" t="s">
        <v>168</v>
      </c>
      <c r="C4" s="175"/>
      <c r="E4" s="147" t="s">
        <v>171</v>
      </c>
    </row>
    <row r="5" spans="1:25">
      <c r="A5" s="148">
        <v>0</v>
      </c>
      <c r="B5" s="148">
        <v>79</v>
      </c>
      <c r="C5" s="148">
        <v>76</v>
      </c>
      <c r="E5" s="148">
        <f>AVERAGE(B5:C5)</f>
        <v>77.5</v>
      </c>
    </row>
    <row r="6" spans="1:25">
      <c r="A6" s="148">
        <v>1</v>
      </c>
      <c r="B6" s="148">
        <v>112</v>
      </c>
      <c r="C6" s="148">
        <v>118</v>
      </c>
      <c r="E6" s="148">
        <f t="shared" ref="E6:E12" si="0">AVERAGE(B6:C6)</f>
        <v>115</v>
      </c>
    </row>
    <row r="7" spans="1:25">
      <c r="A7" s="148">
        <v>3</v>
      </c>
      <c r="B7" s="148">
        <v>254</v>
      </c>
      <c r="C7" s="148">
        <v>259</v>
      </c>
      <c r="E7" s="148">
        <f t="shared" si="0"/>
        <v>256.5</v>
      </c>
    </row>
    <row r="8" spans="1:25">
      <c r="A8" s="148">
        <v>10</v>
      </c>
      <c r="B8" s="148">
        <v>382</v>
      </c>
      <c r="C8" s="148">
        <v>371</v>
      </c>
      <c r="E8" s="148">
        <f t="shared" si="0"/>
        <v>376.5</v>
      </c>
    </row>
    <row r="9" spans="1:25">
      <c r="A9" s="148">
        <v>30</v>
      </c>
      <c r="B9" s="148">
        <v>529</v>
      </c>
      <c r="C9" s="148">
        <v>532</v>
      </c>
      <c r="E9" s="148">
        <f t="shared" si="0"/>
        <v>530.5</v>
      </c>
    </row>
    <row r="10" spans="1:25">
      <c r="A10" s="148">
        <v>100</v>
      </c>
      <c r="B10" s="148">
        <v>881</v>
      </c>
      <c r="C10" s="148">
        <v>874</v>
      </c>
      <c r="E10" s="148">
        <f t="shared" si="0"/>
        <v>877.5</v>
      </c>
    </row>
    <row r="11" spans="1:25">
      <c r="A11" s="148">
        <v>300</v>
      </c>
      <c r="B11" s="148">
        <v>968</v>
      </c>
      <c r="C11" s="148">
        <v>978</v>
      </c>
      <c r="E11" s="148">
        <f t="shared" si="0"/>
        <v>973</v>
      </c>
    </row>
    <row r="12" spans="1:25">
      <c r="A12" s="148">
        <v>1000</v>
      </c>
      <c r="B12" s="148">
        <v>11832</v>
      </c>
      <c r="C12" s="148">
        <v>11895</v>
      </c>
      <c r="E12" s="148">
        <f t="shared" si="0"/>
        <v>11863.5</v>
      </c>
    </row>
    <row r="15" spans="1:25">
      <c r="A15" s="147" t="s">
        <v>201</v>
      </c>
      <c r="B15" s="174" t="s">
        <v>168</v>
      </c>
      <c r="C15" s="174"/>
      <c r="D15" s="174"/>
      <c r="E15" s="174"/>
      <c r="F15" s="174"/>
      <c r="G15" s="174"/>
      <c r="H15" s="174"/>
      <c r="I15" s="174"/>
      <c r="J15" s="174"/>
      <c r="K15" s="174"/>
      <c r="L15" s="174"/>
    </row>
    <row r="16" spans="1:25">
      <c r="A16" s="147" t="s">
        <v>169</v>
      </c>
      <c r="B16" s="148">
        <v>154.29400000000001</v>
      </c>
      <c r="C16" s="148">
        <v>133.024</v>
      </c>
      <c r="D16" s="148">
        <v>165.12100000000001</v>
      </c>
      <c r="E16" s="148">
        <v>111.34399999999999</v>
      </c>
      <c r="F16" s="148">
        <v>131.053</v>
      </c>
      <c r="G16" s="148">
        <v>139.44200000000001</v>
      </c>
      <c r="H16" s="148">
        <v>89.394000000000005</v>
      </c>
      <c r="I16" s="148">
        <v>163.19300000000001</v>
      </c>
      <c r="J16" s="148">
        <v>233.19300000000001</v>
      </c>
      <c r="K16" s="148">
        <v>123.10299999999999</v>
      </c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50"/>
      <c r="Y16" s="150"/>
    </row>
    <row r="17" spans="1:25">
      <c r="A17" s="147" t="s">
        <v>170</v>
      </c>
      <c r="B17" s="148">
        <v>324.54000000000002</v>
      </c>
      <c r="C17" s="148">
        <v>243.20400000000001</v>
      </c>
      <c r="D17" s="148">
        <v>155.30500000000001</v>
      </c>
      <c r="E17" s="148">
        <v>245.95</v>
      </c>
      <c r="F17" s="148">
        <v>311.05399999999997</v>
      </c>
      <c r="G17" s="148">
        <v>322.10000000000002</v>
      </c>
      <c r="H17" s="148">
        <v>112.405</v>
      </c>
      <c r="I17" s="148">
        <v>211.03200000000001</v>
      </c>
      <c r="J17" s="148">
        <v>184.39</v>
      </c>
      <c r="K17" s="148">
        <v>154.20400000000001</v>
      </c>
      <c r="N17" s="148"/>
      <c r="O17" s="148"/>
      <c r="P17" s="148"/>
      <c r="Q17" s="148"/>
      <c r="R17" s="148"/>
      <c r="S17" s="148"/>
      <c r="T17" s="148"/>
      <c r="U17" s="148"/>
      <c r="V17" s="148"/>
      <c r="W17" s="148"/>
      <c r="X17" s="150"/>
      <c r="Y17" s="150"/>
    </row>
    <row r="18" spans="1:25">
      <c r="A18" s="147" t="s">
        <v>172</v>
      </c>
      <c r="B18" s="148">
        <v>265.10000000000002</v>
      </c>
      <c r="C18" s="148">
        <v>113.54</v>
      </c>
      <c r="D18" s="148">
        <v>132.429</v>
      </c>
      <c r="E18" s="148">
        <v>144.24</v>
      </c>
      <c r="F18" s="148">
        <v>164.29</v>
      </c>
      <c r="G18" s="148">
        <v>134.59</v>
      </c>
      <c r="H18" s="148">
        <v>154.29</v>
      </c>
      <c r="I18" s="148">
        <v>231.59</v>
      </c>
      <c r="J18" s="148">
        <v>359.19400000000002</v>
      </c>
      <c r="K18" s="148">
        <v>264.93400000000003</v>
      </c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50"/>
      <c r="Y18" s="150"/>
    </row>
    <row r="19" spans="1:25">
      <c r="A19" s="147" t="s">
        <v>173</v>
      </c>
      <c r="B19" s="148">
        <v>254.203</v>
      </c>
      <c r="C19" s="148">
        <v>156.03</v>
      </c>
      <c r="D19" s="148">
        <v>259.72199999999998</v>
      </c>
      <c r="E19" s="148">
        <v>126.045</v>
      </c>
      <c r="F19" s="148">
        <v>312.10399999999998</v>
      </c>
      <c r="G19" s="148">
        <v>250.62200000000001</v>
      </c>
      <c r="H19" s="148">
        <v>166.30500000000001</v>
      </c>
      <c r="I19" s="148">
        <v>321.45299999999997</v>
      </c>
      <c r="J19" s="148">
        <v>155.45400000000001</v>
      </c>
      <c r="K19" s="148">
        <v>212.34</v>
      </c>
      <c r="N19" s="148"/>
      <c r="O19" s="148"/>
      <c r="P19" s="148"/>
      <c r="Q19" s="148"/>
      <c r="R19" s="148"/>
      <c r="S19" s="148"/>
      <c r="T19" s="148"/>
      <c r="U19" s="148"/>
      <c r="V19" s="148"/>
      <c r="W19" s="148"/>
      <c r="X19" s="150"/>
      <c r="Y19" s="150"/>
    </row>
    <row r="20" spans="1:25">
      <c r="A20" s="147"/>
      <c r="G20" s="148"/>
      <c r="H20" s="148"/>
      <c r="I20" s="148"/>
      <c r="J20" s="148"/>
      <c r="K20" s="148"/>
      <c r="P20" s="150"/>
      <c r="Q20" s="150"/>
      <c r="R20" s="150"/>
      <c r="S20" s="150"/>
      <c r="T20" s="150"/>
      <c r="U20" s="150"/>
      <c r="V20" s="150"/>
      <c r="W20" s="150"/>
      <c r="X20" s="150"/>
      <c r="Y20" s="150"/>
    </row>
    <row r="21" spans="1:25">
      <c r="B21" s="174" t="s">
        <v>205</v>
      </c>
      <c r="C21" s="173"/>
      <c r="D21" s="173"/>
      <c r="E21" s="173"/>
      <c r="F21" s="173"/>
      <c r="G21" s="173"/>
      <c r="H21" s="173"/>
      <c r="I21" s="173"/>
      <c r="J21" s="173"/>
      <c r="K21" s="173"/>
    </row>
    <row r="22" spans="1:25">
      <c r="A22" s="147" t="s">
        <v>169</v>
      </c>
      <c r="B22" s="148">
        <f>((B16+166.09)/11.356)</f>
        <v>28.212750968650933</v>
      </c>
      <c r="C22" s="148">
        <f t="shared" ref="C22:K22" si="1">((C16+166.09)/11.356)</f>
        <v>26.339732300105673</v>
      </c>
      <c r="D22" s="148">
        <f t="shared" si="1"/>
        <v>29.16616766467066</v>
      </c>
      <c r="E22" s="148">
        <f t="shared" si="1"/>
        <v>24.430609369496299</v>
      </c>
      <c r="F22" s="148">
        <f t="shared" si="1"/>
        <v>26.166167664670663</v>
      </c>
      <c r="G22" s="148">
        <f t="shared" si="1"/>
        <v>26.904896090172599</v>
      </c>
      <c r="H22" s="148">
        <f t="shared" si="1"/>
        <v>22.497710461430081</v>
      </c>
      <c r="I22" s="148">
        <f t="shared" si="1"/>
        <v>28.996389573793589</v>
      </c>
      <c r="J22" s="148">
        <f t="shared" si="1"/>
        <v>35.160531877421626</v>
      </c>
      <c r="K22" s="148">
        <f t="shared" si="1"/>
        <v>25.466097217330045</v>
      </c>
    </row>
    <row r="23" spans="1:25">
      <c r="A23" s="147" t="s">
        <v>170</v>
      </c>
      <c r="B23" s="148">
        <f t="shared" ref="B23:K23" si="2">((B17+166.09)/11.356)</f>
        <v>43.204473406128919</v>
      </c>
      <c r="C23" s="148">
        <f t="shared" si="2"/>
        <v>36.042092286016199</v>
      </c>
      <c r="D23" s="148">
        <f t="shared" si="2"/>
        <v>28.301778795350476</v>
      </c>
      <c r="E23" s="148">
        <f t="shared" si="2"/>
        <v>36.283902782669955</v>
      </c>
      <c r="F23" s="148">
        <f t="shared" si="2"/>
        <v>42.016907361747094</v>
      </c>
      <c r="G23" s="148">
        <f t="shared" si="2"/>
        <v>42.989609017259603</v>
      </c>
      <c r="H23" s="148">
        <f t="shared" si="2"/>
        <v>24.524040154984149</v>
      </c>
      <c r="I23" s="148">
        <f t="shared" si="2"/>
        <v>33.209052483268756</v>
      </c>
      <c r="J23" s="148">
        <f t="shared" si="2"/>
        <v>30.862979922507929</v>
      </c>
      <c r="K23" s="148">
        <f t="shared" si="2"/>
        <v>28.204825642831981</v>
      </c>
    </row>
    <row r="24" spans="1:25">
      <c r="A24" s="147" t="s">
        <v>172</v>
      </c>
      <c r="B24" s="148">
        <f t="shared" ref="B24:K24" si="3">((B18+166.09)/11.356)</f>
        <v>37.970235998591058</v>
      </c>
      <c r="C24" s="148">
        <f t="shared" si="3"/>
        <v>24.62398731947869</v>
      </c>
      <c r="D24" s="148">
        <f t="shared" si="3"/>
        <v>26.287337090524833</v>
      </c>
      <c r="E24" s="148">
        <f t="shared" si="3"/>
        <v>27.32740401549842</v>
      </c>
      <c r="F24" s="148">
        <f t="shared" si="3"/>
        <v>29.092990489609019</v>
      </c>
      <c r="G24" s="148">
        <f t="shared" si="3"/>
        <v>26.477632969355408</v>
      </c>
      <c r="H24" s="148">
        <f t="shared" si="3"/>
        <v>28.212398731947868</v>
      </c>
      <c r="I24" s="148">
        <f t="shared" si="3"/>
        <v>35.019373018668546</v>
      </c>
      <c r="J24" s="148">
        <f t="shared" si="3"/>
        <v>46.256076083127859</v>
      </c>
      <c r="K24" s="148">
        <f t="shared" si="3"/>
        <v>37.955618175413882</v>
      </c>
    </row>
    <row r="25" spans="1:25">
      <c r="A25" s="147" t="s">
        <v>173</v>
      </c>
      <c r="B25" s="148">
        <f t="shared" ref="B25:K25" si="4">((B19+166.09)/11.356)</f>
        <v>37.010655160267703</v>
      </c>
      <c r="C25" s="148">
        <f t="shared" si="4"/>
        <v>28.365621697780909</v>
      </c>
      <c r="D25" s="148">
        <f t="shared" si="4"/>
        <v>37.496653751320892</v>
      </c>
      <c r="E25" s="148">
        <f t="shared" si="4"/>
        <v>25.725167312433957</v>
      </c>
      <c r="F25" s="148">
        <f t="shared" si="4"/>
        <v>42.109369496301511</v>
      </c>
      <c r="G25" s="148">
        <f t="shared" si="4"/>
        <v>36.695315251849244</v>
      </c>
      <c r="H25" s="148">
        <f t="shared" si="4"/>
        <v>29.270429728777739</v>
      </c>
      <c r="I25" s="148">
        <f t="shared" si="4"/>
        <v>42.932634730538922</v>
      </c>
      <c r="J25" s="148">
        <f t="shared" si="4"/>
        <v>28.314899612539627</v>
      </c>
      <c r="K25" s="148">
        <f t="shared" si="4"/>
        <v>33.324233885170834</v>
      </c>
      <c r="M25" s="148"/>
    </row>
    <row r="29" spans="1:25">
      <c r="A29" s="147" t="s">
        <v>202</v>
      </c>
      <c r="B29" s="174" t="s">
        <v>168</v>
      </c>
      <c r="C29" s="174"/>
      <c r="D29" s="174"/>
      <c r="E29" s="174"/>
      <c r="F29" s="174"/>
      <c r="G29" s="174"/>
      <c r="H29" s="174"/>
      <c r="I29" s="174"/>
      <c r="J29" s="174"/>
      <c r="K29" s="174"/>
      <c r="L29" s="174"/>
    </row>
    <row r="30" spans="1:25">
      <c r="A30" s="147" t="s">
        <v>169</v>
      </c>
      <c r="B30" s="148">
        <v>132.404</v>
      </c>
      <c r="C30" s="148">
        <v>112.405</v>
      </c>
      <c r="D30" s="148">
        <v>221.03299999999999</v>
      </c>
      <c r="E30" s="148">
        <v>256.20299999999997</v>
      </c>
      <c r="F30" s="148">
        <v>213.10400000000001</v>
      </c>
      <c r="G30" s="148">
        <v>215.20400000000001</v>
      </c>
      <c r="H30" s="148">
        <v>126.504</v>
      </c>
      <c r="I30" s="148">
        <v>212.304</v>
      </c>
      <c r="J30" s="148">
        <v>155.20400000000001</v>
      </c>
      <c r="K30" s="148">
        <v>214.04</v>
      </c>
    </row>
    <row r="31" spans="1:25">
      <c r="A31" s="147" t="s">
        <v>170</v>
      </c>
      <c r="B31" s="148">
        <v>423.1</v>
      </c>
      <c r="C31" s="148">
        <v>311.20400000000001</v>
      </c>
      <c r="D31" s="148">
        <v>395.584</v>
      </c>
      <c r="E31" s="148">
        <v>394.512</v>
      </c>
      <c r="F31" s="148">
        <v>289.49</v>
      </c>
      <c r="G31" s="148">
        <v>243.953</v>
      </c>
      <c r="H31" s="148">
        <v>239.03200000000001</v>
      </c>
      <c r="I31" s="148">
        <v>113.533</v>
      </c>
      <c r="J31" s="148">
        <v>249.32</v>
      </c>
      <c r="K31" s="148">
        <v>244.22300000000001</v>
      </c>
    </row>
    <row r="32" spans="1:25">
      <c r="A32" s="147" t="s">
        <v>172</v>
      </c>
      <c r="B32" s="148">
        <v>214.54</v>
      </c>
      <c r="C32" s="148">
        <v>144.405</v>
      </c>
      <c r="D32" s="148">
        <v>310.30399999999997</v>
      </c>
      <c r="E32" s="148">
        <v>223.01300000000001</v>
      </c>
      <c r="F32" s="148">
        <v>215.34</v>
      </c>
      <c r="G32" s="148">
        <v>123.405</v>
      </c>
      <c r="H32" s="148">
        <v>321.33</v>
      </c>
      <c r="I32" s="148">
        <v>127.04</v>
      </c>
      <c r="J32" s="148">
        <v>163.023</v>
      </c>
      <c r="K32" s="148">
        <v>144.511</v>
      </c>
    </row>
    <row r="33" spans="1:12">
      <c r="A33" s="147" t="s">
        <v>173</v>
      </c>
      <c r="B33" s="148">
        <v>345.60399999999998</v>
      </c>
      <c r="C33" s="148">
        <v>334.40499999999997</v>
      </c>
      <c r="D33" s="148">
        <v>255.10300000000001</v>
      </c>
      <c r="E33" s="148">
        <v>254.60400000000001</v>
      </c>
      <c r="F33" s="148">
        <v>321.04500000000002</v>
      </c>
      <c r="G33" s="148">
        <v>326.30500000000001</v>
      </c>
      <c r="H33" s="148">
        <v>132.19999999999999</v>
      </c>
      <c r="I33" s="148">
        <v>254.20400000000001</v>
      </c>
      <c r="J33" s="148">
        <v>231.30500000000001</v>
      </c>
      <c r="K33" s="148">
        <v>332.40499999999997</v>
      </c>
    </row>
    <row r="34" spans="1:12">
      <c r="A34" s="147"/>
      <c r="G34" s="148"/>
      <c r="H34" s="148"/>
      <c r="I34" s="148"/>
      <c r="J34" s="148"/>
      <c r="K34" s="148"/>
    </row>
    <row r="35" spans="1:12">
      <c r="B35" s="174" t="s">
        <v>205</v>
      </c>
      <c r="C35" s="173"/>
      <c r="D35" s="173"/>
      <c r="E35" s="173"/>
      <c r="F35" s="173"/>
      <c r="G35" s="173"/>
      <c r="H35" s="173"/>
      <c r="I35" s="173"/>
      <c r="J35" s="173"/>
      <c r="K35" s="173"/>
    </row>
    <row r="36" spans="1:12">
      <c r="A36" s="147" t="s">
        <v>169</v>
      </c>
      <c r="B36" s="148">
        <f>((B30+166.09)/11.356)</f>
        <v>26.285135611130684</v>
      </c>
      <c r="C36" s="148">
        <f t="shared" ref="C36:K36" si="5">((C30+166.09)/11.356)</f>
        <v>24.524040154984149</v>
      </c>
      <c r="D36" s="148">
        <f t="shared" si="5"/>
        <v>34.089732300105673</v>
      </c>
      <c r="E36" s="148">
        <f t="shared" si="5"/>
        <v>37.186773511799927</v>
      </c>
      <c r="F36" s="148">
        <f t="shared" si="5"/>
        <v>33.391511095456146</v>
      </c>
      <c r="G36" s="148">
        <f t="shared" si="5"/>
        <v>33.576435364564986</v>
      </c>
      <c r="H36" s="148">
        <f t="shared" si="5"/>
        <v>25.765586474110602</v>
      </c>
      <c r="I36" s="148">
        <f t="shared" si="5"/>
        <v>33.321063754843259</v>
      </c>
      <c r="J36" s="148">
        <f t="shared" si="5"/>
        <v>28.292884818598097</v>
      </c>
      <c r="K36" s="148">
        <f t="shared" si="5"/>
        <v>33.473934483973231</v>
      </c>
    </row>
    <row r="37" spans="1:12">
      <c r="A37" s="147" t="s">
        <v>170</v>
      </c>
      <c r="B37" s="148">
        <f t="shared" ref="B37:K37" si="6">((B31+166.09)/11.356)</f>
        <v>51.8835857696372</v>
      </c>
      <c r="C37" s="148">
        <f t="shared" si="6"/>
        <v>42.030116238112008</v>
      </c>
      <c r="D37" s="148">
        <f t="shared" si="6"/>
        <v>49.460549489256778</v>
      </c>
      <c r="E37" s="148">
        <f t="shared" si="6"/>
        <v>49.366150052835501</v>
      </c>
      <c r="F37" s="148">
        <f t="shared" si="6"/>
        <v>40.117999295526594</v>
      </c>
      <c r="G37" s="148">
        <f t="shared" si="6"/>
        <v>36.108048608665023</v>
      </c>
      <c r="H37" s="148">
        <f t="shared" si="6"/>
        <v>35.674709404719977</v>
      </c>
      <c r="I37" s="148">
        <f t="shared" si="6"/>
        <v>24.623370905248326</v>
      </c>
      <c r="J37" s="148">
        <f t="shared" si="6"/>
        <v>36.580662205001758</v>
      </c>
      <c r="K37" s="148">
        <f t="shared" si="6"/>
        <v>36.131824586121873</v>
      </c>
    </row>
    <row r="38" spans="1:12">
      <c r="A38" s="147" t="s">
        <v>172</v>
      </c>
      <c r="B38" s="148">
        <f t="shared" ref="B38:K38" si="7">((B32+166.09)/11.356)</f>
        <v>33.517964071856291</v>
      </c>
      <c r="C38" s="148">
        <f t="shared" si="7"/>
        <v>27.341933779499826</v>
      </c>
      <c r="D38" s="148">
        <f t="shared" si="7"/>
        <v>41.950862979922512</v>
      </c>
      <c r="E38" s="148">
        <f t="shared" si="7"/>
        <v>34.264089468122577</v>
      </c>
      <c r="F38" s="148">
        <f t="shared" si="7"/>
        <v>33.588411412469178</v>
      </c>
      <c r="G38" s="148">
        <f t="shared" si="7"/>
        <v>25.492691088411412</v>
      </c>
      <c r="H38" s="148">
        <f t="shared" si="7"/>
        <v>42.921803451919686</v>
      </c>
      <c r="I38" s="148">
        <f t="shared" si="7"/>
        <v>25.812786192321241</v>
      </c>
      <c r="J38" s="148">
        <f t="shared" si="7"/>
        <v>28.981419513913352</v>
      </c>
      <c r="K38" s="148">
        <f t="shared" si="7"/>
        <v>27.351268052131033</v>
      </c>
    </row>
    <row r="39" spans="1:12">
      <c r="A39" s="147" t="s">
        <v>173</v>
      </c>
      <c r="B39" s="148">
        <f t="shared" ref="B39:K39" si="8">((B33+166.09)/11.356)</f>
        <v>45.059351884466359</v>
      </c>
      <c r="C39" s="148">
        <f t="shared" si="8"/>
        <v>44.073177175061645</v>
      </c>
      <c r="D39" s="148">
        <f t="shared" si="8"/>
        <v>37.089908418457199</v>
      </c>
      <c r="E39" s="148">
        <f t="shared" si="8"/>
        <v>37.045966889749913</v>
      </c>
      <c r="F39" s="148">
        <f t="shared" si="8"/>
        <v>42.896706586826348</v>
      </c>
      <c r="G39" s="148">
        <f t="shared" si="8"/>
        <v>43.359897851356109</v>
      </c>
      <c r="H39" s="148">
        <f t="shared" si="8"/>
        <v>26.26717153927439</v>
      </c>
      <c r="I39" s="148">
        <f t="shared" si="8"/>
        <v>37.010743219443462</v>
      </c>
      <c r="J39" s="148">
        <f t="shared" si="8"/>
        <v>34.9942761535752</v>
      </c>
      <c r="K39" s="148">
        <f t="shared" si="8"/>
        <v>43.897058823529413</v>
      </c>
    </row>
    <row r="43" spans="1:12">
      <c r="A43" s="147" t="s">
        <v>200</v>
      </c>
      <c r="B43" s="174" t="s">
        <v>168</v>
      </c>
      <c r="C43" s="174"/>
      <c r="D43" s="174"/>
      <c r="E43" s="174"/>
      <c r="F43" s="174"/>
      <c r="G43" s="174"/>
      <c r="H43" s="174"/>
      <c r="I43" s="174"/>
      <c r="J43" s="174"/>
      <c r="K43" s="174"/>
      <c r="L43" s="174"/>
    </row>
    <row r="44" spans="1:12">
      <c r="A44" s="147" t="s">
        <v>169</v>
      </c>
      <c r="B44" s="148">
        <v>371.54034000000001</v>
      </c>
      <c r="C44" s="148">
        <v>294.3</v>
      </c>
      <c r="D44" s="148">
        <v>187.304</v>
      </c>
      <c r="E44" s="148">
        <v>174.53</v>
      </c>
      <c r="F44" s="148">
        <v>177.35</v>
      </c>
      <c r="G44" s="148">
        <v>312.43</v>
      </c>
      <c r="H44" s="148">
        <v>210.25</v>
      </c>
      <c r="I44" s="148">
        <v>332.10399999999998</v>
      </c>
      <c r="J44" s="148">
        <v>253.143</v>
      </c>
      <c r="K44" s="148">
        <v>223.511</v>
      </c>
    </row>
    <row r="45" spans="1:12">
      <c r="A45" s="147" t="s">
        <v>170</v>
      </c>
      <c r="B45" s="148">
        <v>342.12</v>
      </c>
      <c r="C45" s="148">
        <v>522.12</v>
      </c>
      <c r="D45" s="148">
        <v>321.3</v>
      </c>
      <c r="E45" s="148">
        <v>434.05</v>
      </c>
      <c r="F45" s="148">
        <v>315.33999999999997</v>
      </c>
      <c r="G45" s="148">
        <v>323.51</v>
      </c>
      <c r="H45" s="148">
        <v>235.93</v>
      </c>
      <c r="I45" s="148">
        <v>552.34</v>
      </c>
      <c r="J45" s="148">
        <v>612.45000000000005</v>
      </c>
      <c r="K45" s="148">
        <v>553.24300000000005</v>
      </c>
    </row>
    <row r="46" spans="1:12">
      <c r="A46" s="147" t="s">
        <v>172</v>
      </c>
      <c r="B46" s="148">
        <v>352.12</v>
      </c>
      <c r="C46" s="148">
        <v>214.52</v>
      </c>
      <c r="D46" s="148">
        <v>226.035</v>
      </c>
      <c r="E46" s="148">
        <v>356.11</v>
      </c>
      <c r="F46" s="148">
        <v>492.12</v>
      </c>
      <c r="G46" s="148">
        <v>329.53</v>
      </c>
      <c r="H46" s="148">
        <v>301.43</v>
      </c>
      <c r="I46" s="148">
        <v>442.4</v>
      </c>
      <c r="J46" s="148">
        <v>455.22</v>
      </c>
      <c r="K46" s="148">
        <v>395.25</v>
      </c>
    </row>
    <row r="47" spans="1:12">
      <c r="A47" s="147" t="s">
        <v>173</v>
      </c>
      <c r="B47" s="148">
        <v>712.54</v>
      </c>
      <c r="C47" s="148">
        <v>812.30499999999995</v>
      </c>
      <c r="D47" s="148">
        <v>1093.54</v>
      </c>
      <c r="E47" s="148">
        <v>1321.3050000000001</v>
      </c>
      <c r="F47" s="148">
        <v>901.54</v>
      </c>
      <c r="G47" s="148">
        <v>1293.1199999999999</v>
      </c>
      <c r="H47" s="148">
        <v>1111.1286</v>
      </c>
      <c r="I47" s="148">
        <v>1164.7379000000001</v>
      </c>
      <c r="J47" s="148">
        <v>1167.3738000000001</v>
      </c>
      <c r="K47" s="148">
        <v>1153.8232</v>
      </c>
    </row>
    <row r="48" spans="1:12">
      <c r="A48" s="147"/>
      <c r="G48" s="148"/>
      <c r="H48" s="148"/>
      <c r="I48" s="148"/>
      <c r="J48" s="148"/>
      <c r="K48" s="148"/>
    </row>
    <row r="49" spans="1:11">
      <c r="B49" s="174" t="s">
        <v>205</v>
      </c>
      <c r="C49" s="173"/>
      <c r="D49" s="173"/>
      <c r="E49" s="173"/>
      <c r="F49" s="173"/>
      <c r="G49" s="173"/>
      <c r="H49" s="173"/>
      <c r="I49" s="173"/>
      <c r="J49" s="173"/>
      <c r="K49" s="173"/>
    </row>
    <row r="50" spans="1:11">
      <c r="A50" s="147" t="s">
        <v>169</v>
      </c>
      <c r="B50" s="148">
        <f>((B44+166.09)/11.356)</f>
        <v>47.343284607256081</v>
      </c>
      <c r="C50" s="148">
        <f t="shared" ref="C50:K50" si="9">((C44+166.09)/11.356)</f>
        <v>40.541563930961608</v>
      </c>
      <c r="D50" s="148">
        <f t="shared" si="9"/>
        <v>31.119584360690386</v>
      </c>
      <c r="E50" s="148">
        <f t="shared" si="9"/>
        <v>29.994716449454035</v>
      </c>
      <c r="F50" s="148">
        <f t="shared" si="9"/>
        <v>30.243043325114478</v>
      </c>
      <c r="G50" s="148">
        <f t="shared" si="9"/>
        <v>42.138076787601264</v>
      </c>
      <c r="H50" s="148">
        <f t="shared" si="9"/>
        <v>33.140190207819657</v>
      </c>
      <c r="I50" s="148">
        <f t="shared" si="9"/>
        <v>43.870553011623805</v>
      </c>
      <c r="J50" s="148">
        <f t="shared" si="9"/>
        <v>36.917312433955622</v>
      </c>
      <c r="K50" s="148">
        <f t="shared" si="9"/>
        <v>34.307942937654104</v>
      </c>
    </row>
    <row r="51" spans="1:11">
      <c r="A51" s="147" t="s">
        <v>170</v>
      </c>
      <c r="B51" s="148">
        <f t="shared" ref="B51:K51" si="10">((B45+166.09)/11.356)</f>
        <v>44.752553716097218</v>
      </c>
      <c r="C51" s="148">
        <f t="shared" si="10"/>
        <v>60.603205353997893</v>
      </c>
      <c r="D51" s="148">
        <f t="shared" si="10"/>
        <v>42.919161676646709</v>
      </c>
      <c r="E51" s="148">
        <f t="shared" si="10"/>
        <v>52.847833744276151</v>
      </c>
      <c r="F51" s="148">
        <f t="shared" si="10"/>
        <v>42.394328989080655</v>
      </c>
      <c r="G51" s="148">
        <f t="shared" si="10"/>
        <v>43.113772455089823</v>
      </c>
      <c r="H51" s="148">
        <f t="shared" si="10"/>
        <v>35.401549841493484</v>
      </c>
      <c r="I51" s="148">
        <f t="shared" si="10"/>
        <v>63.264353645649884</v>
      </c>
      <c r="J51" s="148">
        <f t="shared" si="10"/>
        <v>68.557590700951053</v>
      </c>
      <c r="K51" s="148">
        <f t="shared" si="10"/>
        <v>63.343871081366686</v>
      </c>
    </row>
    <row r="52" spans="1:11">
      <c r="A52" s="147" t="s">
        <v>172</v>
      </c>
      <c r="B52" s="148">
        <f t="shared" ref="B52:K52" si="11">((B46+166.09)/11.356)</f>
        <v>45.633145473758368</v>
      </c>
      <c r="C52" s="148">
        <f t="shared" si="11"/>
        <v>33.516202888340963</v>
      </c>
      <c r="D52" s="148">
        <f t="shared" si="11"/>
        <v>34.530204297287774</v>
      </c>
      <c r="E52" s="148">
        <f t="shared" si="11"/>
        <v>45.984501585065168</v>
      </c>
      <c r="F52" s="148">
        <f t="shared" si="11"/>
        <v>57.961430081014448</v>
      </c>
      <c r="G52" s="148">
        <f t="shared" si="11"/>
        <v>43.643888693201831</v>
      </c>
      <c r="H52" s="148">
        <f t="shared" si="11"/>
        <v>41.169425854174001</v>
      </c>
      <c r="I52" s="148">
        <f t="shared" si="11"/>
        <v>53.583127861923217</v>
      </c>
      <c r="J52" s="148">
        <f t="shared" si="11"/>
        <v>54.712046495244813</v>
      </c>
      <c r="K52" s="148">
        <f t="shared" si="11"/>
        <v>49.431137724550901</v>
      </c>
    </row>
    <row r="53" spans="1:11">
      <c r="A53" s="147" t="s">
        <v>173</v>
      </c>
      <c r="B53" s="148">
        <f t="shared" ref="B53:K53" si="12">((B47+166.09)/11.356)</f>
        <v>77.371433603381476</v>
      </c>
      <c r="C53" s="148">
        <f t="shared" si="12"/>
        <v>86.156657273687912</v>
      </c>
      <c r="D53" s="148">
        <f t="shared" si="12"/>
        <v>110.92197957027122</v>
      </c>
      <c r="E53" s="148">
        <f t="shared" si="12"/>
        <v>130.97877773864036</v>
      </c>
      <c r="F53" s="148">
        <f t="shared" si="12"/>
        <v>94.014617823177161</v>
      </c>
      <c r="G53" s="148">
        <f t="shared" si="12"/>
        <v>128.49682986967241</v>
      </c>
      <c r="H53" s="148">
        <f t="shared" si="12"/>
        <v>112.47081718915111</v>
      </c>
      <c r="I53" s="148">
        <f t="shared" si="12"/>
        <v>117.19160796054949</v>
      </c>
      <c r="J53" s="148">
        <f t="shared" si="12"/>
        <v>117.4237231419514</v>
      </c>
      <c r="K53" s="148">
        <f t="shared" si="12"/>
        <v>116.23046847481507</v>
      </c>
    </row>
  </sheetData>
  <mergeCells count="7">
    <mergeCell ref="B4:C4"/>
    <mergeCell ref="B15:L15"/>
    <mergeCell ref="B49:K49"/>
    <mergeCell ref="B21:K21"/>
    <mergeCell ref="B29:L29"/>
    <mergeCell ref="B35:K35"/>
    <mergeCell ref="B43:L43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Y53"/>
  <sheetViews>
    <sheetView workbookViewId="0">
      <selection activeCell="A3" sqref="A3"/>
    </sheetView>
  </sheetViews>
  <sheetFormatPr defaultRowHeight="15"/>
  <cols>
    <col min="1" max="1" width="22.140625" style="39" customWidth="1"/>
    <col min="2" max="6" width="9.140625" style="39"/>
  </cols>
  <sheetData>
    <row r="3" spans="1:12">
      <c r="A3" s="38" t="s">
        <v>777</v>
      </c>
    </row>
    <row r="4" spans="1:12">
      <c r="A4" s="38" t="s">
        <v>167</v>
      </c>
      <c r="B4" s="169" t="s">
        <v>206</v>
      </c>
      <c r="C4" s="169"/>
      <c r="E4" s="38" t="s">
        <v>171</v>
      </c>
    </row>
    <row r="5" spans="1:12">
      <c r="A5" s="39">
        <v>0</v>
      </c>
      <c r="B5" s="39">
        <v>4.9000000000000002E-2</v>
      </c>
      <c r="C5" s="39">
        <v>4.7E-2</v>
      </c>
      <c r="E5" s="39">
        <f>AVERAGE(B5:C5)</f>
        <v>4.8000000000000001E-2</v>
      </c>
    </row>
    <row r="6" spans="1:12">
      <c r="A6" s="39">
        <v>0.31</v>
      </c>
      <c r="B6" s="39">
        <v>0.14099999999999999</v>
      </c>
      <c r="C6" s="39">
        <v>0.14299999999999999</v>
      </c>
      <c r="E6" s="39">
        <f t="shared" ref="E6:E12" si="0">AVERAGE(B6:C6)</f>
        <v>0.14199999999999999</v>
      </c>
    </row>
    <row r="7" spans="1:12">
      <c r="A7" s="39">
        <v>0.63</v>
      </c>
      <c r="B7" s="39">
        <v>0.221</v>
      </c>
      <c r="C7" s="39">
        <v>0.224</v>
      </c>
      <c r="E7" s="39">
        <f t="shared" si="0"/>
        <v>0.2225</v>
      </c>
    </row>
    <row r="8" spans="1:12">
      <c r="A8" s="39">
        <v>1.25</v>
      </c>
      <c r="B8" s="39">
        <v>0.31</v>
      </c>
      <c r="C8" s="39">
        <v>0.34</v>
      </c>
      <c r="E8" s="39">
        <f t="shared" si="0"/>
        <v>0.32500000000000001</v>
      </c>
    </row>
    <row r="9" spans="1:12">
      <c r="A9" s="39">
        <v>2.5</v>
      </c>
      <c r="B9" s="39">
        <v>0.621</v>
      </c>
      <c r="C9" s="39">
        <v>0.628</v>
      </c>
      <c r="E9" s="39">
        <f t="shared" si="0"/>
        <v>0.62450000000000006</v>
      </c>
    </row>
    <row r="10" spans="1:12">
      <c r="A10" s="39">
        <v>5</v>
      </c>
      <c r="B10" s="39">
        <v>1.33</v>
      </c>
      <c r="C10" s="39">
        <v>1.35</v>
      </c>
      <c r="E10" s="39">
        <f t="shared" si="0"/>
        <v>1.34</v>
      </c>
    </row>
    <row r="11" spans="1:12">
      <c r="A11" s="39">
        <v>10</v>
      </c>
      <c r="B11" s="39">
        <v>1.837</v>
      </c>
      <c r="C11" s="39">
        <v>1.855</v>
      </c>
      <c r="E11" s="39">
        <f t="shared" si="0"/>
        <v>1.8460000000000001</v>
      </c>
    </row>
    <row r="12" spans="1:12">
      <c r="A12" s="39">
        <v>20</v>
      </c>
      <c r="B12" s="39">
        <v>3.1930000000000001</v>
      </c>
      <c r="C12" s="39">
        <v>3.1179999999999999</v>
      </c>
      <c r="E12" s="39">
        <f t="shared" si="0"/>
        <v>3.1555</v>
      </c>
    </row>
    <row r="15" spans="1:12">
      <c r="A15" s="38" t="s">
        <v>201</v>
      </c>
      <c r="B15" s="179"/>
      <c r="C15" s="179"/>
      <c r="D15" s="179"/>
      <c r="E15" s="179"/>
      <c r="F15" s="179"/>
      <c r="G15" s="179"/>
      <c r="H15" s="179"/>
      <c r="I15" s="179"/>
      <c r="J15" s="179"/>
      <c r="K15" s="179"/>
      <c r="L15" s="179"/>
    </row>
    <row r="16" spans="1:12">
      <c r="A16" s="38"/>
      <c r="B16" s="179" t="s">
        <v>206</v>
      </c>
      <c r="C16" s="179"/>
      <c r="D16" s="179"/>
      <c r="E16" s="179"/>
      <c r="F16" s="179"/>
      <c r="G16" s="57"/>
      <c r="H16" s="179" t="s">
        <v>207</v>
      </c>
      <c r="I16" s="179"/>
      <c r="J16" s="179"/>
      <c r="K16" s="179"/>
      <c r="L16" s="179"/>
    </row>
    <row r="17" spans="1:25">
      <c r="A17" s="38" t="s">
        <v>169</v>
      </c>
      <c r="B17" s="39">
        <v>3.294</v>
      </c>
      <c r="C17" s="39">
        <v>3.569</v>
      </c>
      <c r="D17" s="39">
        <v>4.8319999999999999</v>
      </c>
      <c r="E17" s="39">
        <v>4.1294000000000004</v>
      </c>
      <c r="F17" s="39">
        <v>4.423</v>
      </c>
      <c r="G17" s="39"/>
      <c r="H17" s="39">
        <f>((B17-0.193)/0.1552)</f>
        <v>19.980670103092784</v>
      </c>
      <c r="I17" s="39">
        <f t="shared" ref="I17:L17" si="1">((C17-0.193)/0.1552)</f>
        <v>21.752577319587626</v>
      </c>
      <c r="J17" s="39">
        <f t="shared" si="1"/>
        <v>29.890463917525775</v>
      </c>
      <c r="K17" s="39">
        <f t="shared" si="1"/>
        <v>25.363402061855673</v>
      </c>
      <c r="L17" s="39">
        <f t="shared" si="1"/>
        <v>27.255154639175259</v>
      </c>
      <c r="P17" s="40"/>
      <c r="Q17" s="40"/>
      <c r="R17" s="40"/>
      <c r="S17" s="40"/>
      <c r="T17" s="40"/>
      <c r="U17" s="40"/>
      <c r="V17" s="40"/>
      <c r="W17" s="40"/>
      <c r="X17" s="40"/>
      <c r="Y17" s="40"/>
    </row>
    <row r="18" spans="1:25">
      <c r="A18" s="38" t="s">
        <v>170</v>
      </c>
      <c r="B18" s="39">
        <v>3.5059999999999998</v>
      </c>
      <c r="C18" s="39">
        <v>3.3319999999999999</v>
      </c>
      <c r="D18" s="39">
        <v>3.6840000000000002</v>
      </c>
      <c r="E18" s="39">
        <v>2.605</v>
      </c>
      <c r="F18" s="39">
        <v>2.7850000000000001</v>
      </c>
      <c r="G18" s="39"/>
      <c r="H18" s="39">
        <f t="shared" ref="H18:H20" si="2">((B18-0.193)/0.1552)</f>
        <v>21.34664948453608</v>
      </c>
      <c r="I18" s="39">
        <f t="shared" ref="I18:I20" si="3">((C18-0.193)/0.1552)</f>
        <v>20.225515463917525</v>
      </c>
      <c r="J18" s="39">
        <f t="shared" ref="J18:J20" si="4">((D18-0.193)/0.1552)</f>
        <v>22.493556701030929</v>
      </c>
      <c r="K18" s="39">
        <f t="shared" ref="K18:K20" si="5">((E18-0.193)/0.1552)</f>
        <v>15.541237113402062</v>
      </c>
      <c r="L18" s="39">
        <f t="shared" ref="L18:L20" si="6">((F18-0.193)/0.1552)</f>
        <v>16.701030927835053</v>
      </c>
      <c r="P18" s="40"/>
      <c r="Q18" s="40"/>
      <c r="R18" s="40"/>
      <c r="S18" s="40"/>
      <c r="T18" s="40"/>
      <c r="U18" s="40"/>
      <c r="V18" s="40"/>
      <c r="W18" s="40"/>
      <c r="X18" s="40"/>
      <c r="Y18" s="40"/>
    </row>
    <row r="19" spans="1:25">
      <c r="A19" s="38" t="s">
        <v>172</v>
      </c>
      <c r="B19" s="39">
        <v>2.5499999999999998</v>
      </c>
      <c r="C19" s="39">
        <v>2.7839999999999998</v>
      </c>
      <c r="D19" s="39">
        <v>2.1560000000000001</v>
      </c>
      <c r="E19" s="39">
        <v>2.5059999999999998</v>
      </c>
      <c r="F19" s="39">
        <v>3.2050000000000001</v>
      </c>
      <c r="G19" s="39"/>
      <c r="H19" s="39">
        <f t="shared" si="2"/>
        <v>15.186855670103091</v>
      </c>
      <c r="I19" s="39">
        <f t="shared" si="3"/>
        <v>16.694587628865978</v>
      </c>
      <c r="J19" s="39">
        <f t="shared" si="4"/>
        <v>12.648195876288661</v>
      </c>
      <c r="K19" s="39">
        <f t="shared" si="5"/>
        <v>14.903350515463915</v>
      </c>
      <c r="L19" s="39">
        <f t="shared" si="6"/>
        <v>19.407216494845361</v>
      </c>
      <c r="P19" s="40"/>
      <c r="Q19" s="40"/>
      <c r="R19" s="40"/>
      <c r="S19" s="40"/>
      <c r="T19" s="40"/>
      <c r="U19" s="40"/>
      <c r="V19" s="40"/>
      <c r="W19" s="40"/>
      <c r="X19" s="40"/>
      <c r="Y19" s="40"/>
    </row>
    <row r="20" spans="1:25">
      <c r="A20" s="38" t="s">
        <v>173</v>
      </c>
      <c r="B20" s="39">
        <v>3.4</v>
      </c>
      <c r="C20" s="39">
        <v>2.3119999999999998</v>
      </c>
      <c r="D20" s="39">
        <v>2.3050000000000002</v>
      </c>
      <c r="E20" s="39">
        <v>2.1139999999999999</v>
      </c>
      <c r="F20" s="39">
        <v>2.6930000000000001</v>
      </c>
      <c r="G20" s="39"/>
      <c r="H20" s="39">
        <f t="shared" si="2"/>
        <v>20.663659793814432</v>
      </c>
      <c r="I20" s="39">
        <f t="shared" si="3"/>
        <v>13.653350515463917</v>
      </c>
      <c r="J20" s="39">
        <f t="shared" si="4"/>
        <v>13.608247422680412</v>
      </c>
      <c r="K20" s="39">
        <f t="shared" si="5"/>
        <v>12.377577319587628</v>
      </c>
      <c r="L20" s="39">
        <f t="shared" si="6"/>
        <v>16.10824742268041</v>
      </c>
      <c r="P20" s="40"/>
      <c r="Q20" s="40"/>
      <c r="R20" s="40"/>
      <c r="S20" s="40"/>
      <c r="T20" s="40"/>
      <c r="U20" s="40"/>
      <c r="V20" s="40"/>
      <c r="W20" s="40"/>
      <c r="X20" s="40"/>
      <c r="Y20" s="40"/>
    </row>
    <row r="21" spans="1:25">
      <c r="A21" s="38"/>
      <c r="G21" s="39"/>
      <c r="H21" s="39"/>
      <c r="I21" s="39"/>
      <c r="J21" s="39"/>
      <c r="K21" s="39"/>
      <c r="P21" s="40"/>
      <c r="Q21" s="40"/>
      <c r="R21" s="40"/>
      <c r="S21" s="40"/>
      <c r="T21" s="40"/>
      <c r="U21" s="40"/>
      <c r="V21" s="40"/>
      <c r="W21" s="40"/>
      <c r="X21" s="40"/>
      <c r="Y21" s="40"/>
    </row>
    <row r="22" spans="1:25">
      <c r="B22" s="179"/>
      <c r="C22" s="171"/>
      <c r="D22" s="171"/>
      <c r="E22" s="171"/>
      <c r="F22" s="171"/>
      <c r="G22" s="171"/>
      <c r="H22" s="171"/>
      <c r="I22" s="171"/>
      <c r="J22" s="171"/>
      <c r="K22" s="171"/>
    </row>
    <row r="23" spans="1:25">
      <c r="A23" s="38" t="s">
        <v>202</v>
      </c>
      <c r="B23" s="179"/>
      <c r="C23" s="179"/>
      <c r="D23" s="179"/>
      <c r="E23" s="179"/>
      <c r="F23" s="179"/>
      <c r="G23" s="179"/>
      <c r="H23" s="179"/>
      <c r="I23" s="179"/>
      <c r="J23" s="179"/>
      <c r="K23" s="179"/>
      <c r="L23" s="179"/>
    </row>
    <row r="24" spans="1:25">
      <c r="A24" s="38"/>
      <c r="B24" s="179" t="s">
        <v>206</v>
      </c>
      <c r="C24" s="179"/>
      <c r="D24" s="179"/>
      <c r="E24" s="179"/>
      <c r="F24" s="179"/>
      <c r="G24" s="57"/>
      <c r="H24" s="179" t="s">
        <v>207</v>
      </c>
      <c r="I24" s="179"/>
      <c r="J24" s="179"/>
      <c r="K24" s="179"/>
      <c r="L24" s="179"/>
    </row>
    <row r="25" spans="1:25">
      <c r="A25" s="38" t="s">
        <v>169</v>
      </c>
      <c r="B25" s="39">
        <v>3.5329999999999999</v>
      </c>
      <c r="C25" s="39">
        <v>3.5939999999999999</v>
      </c>
      <c r="D25" s="39">
        <v>4.1929999999999996</v>
      </c>
      <c r="E25" s="39">
        <v>2.6640000000000001</v>
      </c>
      <c r="F25" s="39">
        <v>2.468</v>
      </c>
      <c r="G25" s="39"/>
      <c r="H25" s="39">
        <f>((B25-0.193)/0.1552)</f>
        <v>21.520618556701031</v>
      </c>
      <c r="I25" s="39">
        <f t="shared" ref="I25:I28" si="7">((C25-0.193)/0.1552)</f>
        <v>21.913659793814432</v>
      </c>
      <c r="J25" s="39">
        <f t="shared" ref="J25:J28" si="8">((D25-0.193)/0.1552)</f>
        <v>25.773195876288657</v>
      </c>
      <c r="K25" s="39">
        <f t="shared" ref="K25:K28" si="9">((E25-0.193)/0.1552)</f>
        <v>15.921391752577319</v>
      </c>
      <c r="L25" s="39">
        <f t="shared" ref="L25:L28" si="10">((F25-0.193)/0.1552)</f>
        <v>14.658505154639174</v>
      </c>
    </row>
    <row r="26" spans="1:25">
      <c r="A26" s="38" t="s">
        <v>170</v>
      </c>
      <c r="B26" s="39">
        <v>3.11</v>
      </c>
      <c r="C26" s="39">
        <v>2.2000000000000002</v>
      </c>
      <c r="D26" s="39">
        <v>2.14</v>
      </c>
      <c r="E26" s="39">
        <v>1.964</v>
      </c>
      <c r="F26" s="39">
        <v>3.1240000000000001</v>
      </c>
      <c r="G26" s="39"/>
      <c r="H26" s="39">
        <f t="shared" ref="H26:H28" si="11">((B26-0.193)/0.1552)</f>
        <v>18.795103092783503</v>
      </c>
      <c r="I26" s="39">
        <f t="shared" si="7"/>
        <v>12.931701030927835</v>
      </c>
      <c r="J26" s="39">
        <f t="shared" si="8"/>
        <v>12.545103092783505</v>
      </c>
      <c r="K26" s="39">
        <f t="shared" si="9"/>
        <v>11.411082474226804</v>
      </c>
      <c r="L26" s="39">
        <f t="shared" si="10"/>
        <v>18.885309278350515</v>
      </c>
      <c r="M26" s="39"/>
    </row>
    <row r="27" spans="1:25">
      <c r="A27" s="38" t="s">
        <v>172</v>
      </c>
      <c r="B27" s="39">
        <v>2.59</v>
      </c>
      <c r="C27" s="39">
        <v>2.11</v>
      </c>
      <c r="D27" s="39">
        <v>3.0129999999999999</v>
      </c>
      <c r="E27" s="39">
        <v>2.2120000000000002</v>
      </c>
      <c r="F27" s="39">
        <v>1.95</v>
      </c>
      <c r="G27" s="39"/>
      <c r="H27" s="39">
        <f t="shared" si="11"/>
        <v>15.444587628865978</v>
      </c>
      <c r="I27" s="39">
        <f t="shared" si="7"/>
        <v>12.351804123711339</v>
      </c>
      <c r="J27" s="39">
        <f t="shared" si="8"/>
        <v>18.170103092783503</v>
      </c>
      <c r="K27" s="39">
        <f t="shared" si="9"/>
        <v>13.009020618556702</v>
      </c>
      <c r="L27" s="39">
        <f t="shared" si="10"/>
        <v>11.320876288659793</v>
      </c>
    </row>
    <row r="28" spans="1:25">
      <c r="A28" s="38" t="s">
        <v>173</v>
      </c>
      <c r="B28" s="39">
        <v>1.859</v>
      </c>
      <c r="C28" s="39">
        <v>2.94</v>
      </c>
      <c r="D28" s="39">
        <v>2.1190000000000002</v>
      </c>
      <c r="E28" s="39">
        <v>2.4279999999999999</v>
      </c>
      <c r="F28" s="39">
        <v>1.847</v>
      </c>
      <c r="G28" s="39"/>
      <c r="H28" s="39">
        <f t="shared" si="11"/>
        <v>10.734536082474227</v>
      </c>
      <c r="I28" s="39">
        <f t="shared" si="7"/>
        <v>17.699742268041234</v>
      </c>
      <c r="J28" s="39">
        <f t="shared" si="8"/>
        <v>12.409793814432991</v>
      </c>
      <c r="K28" s="39">
        <f t="shared" si="9"/>
        <v>14.400773195876287</v>
      </c>
      <c r="L28" s="39">
        <f t="shared" si="10"/>
        <v>10.657216494845359</v>
      </c>
    </row>
    <row r="30" spans="1:25">
      <c r="A30" s="38"/>
      <c r="G30" s="39"/>
      <c r="H30" s="39"/>
      <c r="I30" s="39"/>
      <c r="J30" s="39"/>
      <c r="K30" s="39"/>
    </row>
    <row r="31" spans="1:25">
      <c r="A31" s="38" t="s">
        <v>200</v>
      </c>
      <c r="B31" s="179"/>
      <c r="C31" s="179"/>
      <c r="D31" s="179"/>
      <c r="E31" s="179"/>
      <c r="F31" s="179"/>
      <c r="G31" s="179"/>
      <c r="H31" s="179"/>
      <c r="I31" s="179"/>
      <c r="J31" s="179"/>
      <c r="K31" s="179"/>
      <c r="L31" s="179"/>
    </row>
    <row r="32" spans="1:25">
      <c r="A32" s="38"/>
      <c r="B32" s="179" t="s">
        <v>206</v>
      </c>
      <c r="C32" s="179"/>
      <c r="D32" s="179"/>
      <c r="E32" s="179"/>
      <c r="F32" s="179"/>
      <c r="G32" s="57"/>
      <c r="H32" s="179" t="s">
        <v>207</v>
      </c>
      <c r="I32" s="179"/>
      <c r="J32" s="179"/>
      <c r="K32" s="179"/>
      <c r="L32" s="179"/>
    </row>
    <row r="33" spans="1:12">
      <c r="A33" s="38" t="s">
        <v>169</v>
      </c>
      <c r="B33" s="39">
        <v>2.94</v>
      </c>
      <c r="C33" s="39">
        <v>3.1120000000000001</v>
      </c>
      <c r="D33" s="39">
        <v>2.94</v>
      </c>
      <c r="E33" s="39">
        <v>1.284</v>
      </c>
      <c r="F33" s="39">
        <v>2.3940000000000001</v>
      </c>
      <c r="G33" s="39"/>
      <c r="H33" s="39">
        <f>((B33-0.193)/0.1552)</f>
        <v>17.699742268041234</v>
      </c>
      <c r="I33" s="39">
        <f t="shared" ref="I33:I36" si="12">((C33-0.193)/0.1552)</f>
        <v>18.807989690721648</v>
      </c>
      <c r="J33" s="39">
        <f t="shared" ref="J33:J36" si="13">((D33-0.193)/0.1552)</f>
        <v>17.699742268041234</v>
      </c>
      <c r="K33" s="39">
        <f t="shared" ref="K33:K36" si="14">((E33-0.193)/0.1552)</f>
        <v>7.0296391752577314</v>
      </c>
      <c r="L33" s="39">
        <f t="shared" ref="L33:L36" si="15">((F33-0.193)/0.1552)</f>
        <v>14.181701030927835</v>
      </c>
    </row>
    <row r="34" spans="1:12">
      <c r="A34" s="38" t="s">
        <v>170</v>
      </c>
      <c r="B34" s="39">
        <v>1.506</v>
      </c>
      <c r="C34" s="58">
        <v>2.4900000000000002</v>
      </c>
      <c r="D34" s="39">
        <v>1.294</v>
      </c>
      <c r="E34" s="39">
        <v>2.4900000000000002</v>
      </c>
      <c r="F34" s="39">
        <v>2.294</v>
      </c>
      <c r="G34" s="39"/>
      <c r="H34" s="39">
        <f t="shared" ref="H34:H36" si="16">((B34-0.193)/0.1552)</f>
        <v>8.4600515463917514</v>
      </c>
      <c r="I34" s="39">
        <f t="shared" si="12"/>
        <v>14.800257731958764</v>
      </c>
      <c r="J34" s="39">
        <f t="shared" si="13"/>
        <v>7.0940721649484528</v>
      </c>
      <c r="K34" s="39">
        <f t="shared" si="14"/>
        <v>14.800257731958764</v>
      </c>
      <c r="L34" s="39">
        <f t="shared" si="15"/>
        <v>13.537371134020619</v>
      </c>
    </row>
    <row r="35" spans="1:12">
      <c r="A35" s="38" t="s">
        <v>172</v>
      </c>
      <c r="B35" s="39">
        <v>1.94</v>
      </c>
      <c r="C35" s="39">
        <v>2.294</v>
      </c>
      <c r="D35" s="39">
        <v>2.29</v>
      </c>
      <c r="E35" s="39">
        <v>1.57</v>
      </c>
      <c r="F35" s="39">
        <v>1.34</v>
      </c>
      <c r="G35" s="39"/>
      <c r="H35" s="39">
        <f t="shared" si="16"/>
        <v>11.256443298969071</v>
      </c>
      <c r="I35" s="39">
        <f t="shared" si="12"/>
        <v>13.537371134020619</v>
      </c>
      <c r="J35" s="39">
        <f t="shared" si="13"/>
        <v>13.511597938144329</v>
      </c>
      <c r="K35" s="39">
        <f t="shared" si="14"/>
        <v>8.8724226804123703</v>
      </c>
      <c r="L35" s="39">
        <f t="shared" si="15"/>
        <v>7.3904639175257731</v>
      </c>
    </row>
    <row r="36" spans="1:12">
      <c r="A36" s="38" t="s">
        <v>173</v>
      </c>
      <c r="B36" s="39">
        <v>1.54</v>
      </c>
      <c r="C36" s="39">
        <v>1.38</v>
      </c>
      <c r="D36" s="39">
        <v>1.1499999999999999</v>
      </c>
      <c r="E36" s="39">
        <v>1.1100000000000001</v>
      </c>
      <c r="F36" s="39">
        <v>0.84950000000000003</v>
      </c>
      <c r="G36" s="39"/>
      <c r="H36" s="39">
        <f t="shared" si="16"/>
        <v>8.6791237113402051</v>
      </c>
      <c r="I36" s="39">
        <f t="shared" si="12"/>
        <v>7.6481958762886588</v>
      </c>
      <c r="J36" s="39">
        <f t="shared" si="13"/>
        <v>6.1662371134020608</v>
      </c>
      <c r="K36" s="39">
        <f t="shared" si="14"/>
        <v>5.9085051546391751</v>
      </c>
      <c r="L36" s="39">
        <f t="shared" si="15"/>
        <v>4.2300257731958766</v>
      </c>
    </row>
    <row r="37" spans="1:12">
      <c r="A37" s="38"/>
      <c r="G37" s="39"/>
      <c r="H37" s="39"/>
      <c r="I37" s="39"/>
      <c r="J37" s="39"/>
      <c r="K37" s="39"/>
    </row>
    <row r="38" spans="1:12">
      <c r="A38" s="38"/>
      <c r="G38" s="39"/>
      <c r="H38" s="39"/>
      <c r="I38" s="39"/>
      <c r="J38" s="39"/>
      <c r="K38" s="39"/>
    </row>
    <row r="39" spans="1:12">
      <c r="A39" s="38"/>
      <c r="G39" s="39"/>
      <c r="H39" s="39"/>
      <c r="I39" s="39"/>
      <c r="J39" s="39"/>
      <c r="K39" s="39"/>
    </row>
    <row r="43" spans="1:12">
      <c r="A43" s="38"/>
      <c r="B43" s="179"/>
      <c r="C43" s="179"/>
      <c r="D43" s="179"/>
      <c r="E43" s="179"/>
      <c r="F43" s="179"/>
      <c r="G43" s="179"/>
      <c r="H43" s="179"/>
      <c r="I43" s="179"/>
      <c r="J43" s="179"/>
      <c r="K43" s="179"/>
      <c r="L43" s="179"/>
    </row>
    <row r="44" spans="1:12">
      <c r="A44" s="38"/>
      <c r="G44" s="39"/>
      <c r="H44" s="39"/>
      <c r="I44" s="39"/>
      <c r="J44" s="39"/>
      <c r="K44" s="39"/>
    </row>
    <row r="45" spans="1:12">
      <c r="A45" s="38"/>
      <c r="G45" s="39"/>
      <c r="H45" s="39"/>
      <c r="I45" s="39"/>
      <c r="J45" s="39"/>
      <c r="K45" s="39"/>
    </row>
    <row r="46" spans="1:12">
      <c r="A46" s="38"/>
      <c r="G46" s="39"/>
      <c r="H46" s="39"/>
      <c r="I46" s="39"/>
      <c r="J46" s="39"/>
      <c r="K46" s="39"/>
    </row>
    <row r="47" spans="1:12">
      <c r="A47" s="38"/>
      <c r="G47" s="39"/>
      <c r="H47" s="39"/>
      <c r="I47" s="39"/>
      <c r="J47" s="39"/>
      <c r="K47" s="39"/>
    </row>
    <row r="48" spans="1:12">
      <c r="A48" s="38"/>
      <c r="G48" s="39"/>
      <c r="H48" s="39"/>
      <c r="I48" s="39"/>
      <c r="J48" s="39"/>
      <c r="K48" s="39"/>
    </row>
    <row r="49" spans="1:11">
      <c r="B49" s="179"/>
      <c r="C49" s="171"/>
      <c r="D49" s="171"/>
      <c r="E49" s="171"/>
      <c r="F49" s="171"/>
      <c r="G49" s="171"/>
      <c r="H49" s="171"/>
      <c r="I49" s="171"/>
      <c r="J49" s="171"/>
      <c r="K49" s="171"/>
    </row>
    <row r="50" spans="1:11">
      <c r="A50" s="38"/>
      <c r="G50" s="39"/>
      <c r="H50" s="39"/>
      <c r="I50" s="39"/>
      <c r="J50" s="39"/>
      <c r="K50" s="39"/>
    </row>
    <row r="51" spans="1:11">
      <c r="A51" s="38"/>
      <c r="G51" s="39"/>
      <c r="H51" s="39"/>
      <c r="I51" s="39"/>
      <c r="J51" s="39"/>
      <c r="K51" s="39"/>
    </row>
    <row r="52" spans="1:11">
      <c r="A52" s="38"/>
      <c r="G52" s="39"/>
      <c r="H52" s="39"/>
      <c r="I52" s="39"/>
      <c r="J52" s="39"/>
      <c r="K52" s="39"/>
    </row>
    <row r="53" spans="1:11">
      <c r="A53" s="38"/>
      <c r="G53" s="39"/>
      <c r="H53" s="39"/>
      <c r="I53" s="39"/>
      <c r="J53" s="39"/>
      <c r="K53" s="39"/>
    </row>
  </sheetData>
  <mergeCells count="13">
    <mergeCell ref="B4:C4"/>
    <mergeCell ref="B15:L15"/>
    <mergeCell ref="B22:K22"/>
    <mergeCell ref="B43:L43"/>
    <mergeCell ref="B49:K49"/>
    <mergeCell ref="B16:F16"/>
    <mergeCell ref="H16:L16"/>
    <mergeCell ref="B23:L23"/>
    <mergeCell ref="B24:F24"/>
    <mergeCell ref="H24:L24"/>
    <mergeCell ref="B31:L31"/>
    <mergeCell ref="B32:F32"/>
    <mergeCell ref="H32:L32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5"/>
  <sheetViews>
    <sheetView workbookViewId="0">
      <selection activeCell="A2" sqref="A2"/>
    </sheetView>
  </sheetViews>
  <sheetFormatPr defaultRowHeight="15"/>
  <cols>
    <col min="2" max="2" width="22.140625" customWidth="1"/>
  </cols>
  <sheetData>
    <row r="2" spans="1:8">
      <c r="A2" s="1" t="s">
        <v>778</v>
      </c>
    </row>
    <row r="4" spans="1:8">
      <c r="A4" s="1" t="s">
        <v>201</v>
      </c>
    </row>
    <row r="5" spans="1:8" ht="15.75">
      <c r="B5" s="48" t="s">
        <v>192</v>
      </c>
      <c r="C5" s="51" t="s">
        <v>208</v>
      </c>
      <c r="D5" s="51"/>
      <c r="E5" s="51"/>
      <c r="F5" s="51"/>
      <c r="G5" s="51"/>
      <c r="H5" s="51"/>
    </row>
    <row r="6" spans="1:8" ht="15.75">
      <c r="B6" s="48" t="s">
        <v>169</v>
      </c>
      <c r="C6" s="43">
        <v>375.49599999999998</v>
      </c>
      <c r="D6" s="43">
        <v>496.40600000000001</v>
      </c>
      <c r="E6" s="43">
        <v>399.29300000000001</v>
      </c>
      <c r="F6" s="43">
        <v>295.35000000000002</v>
      </c>
      <c r="G6" s="43">
        <v>296.30099999999999</v>
      </c>
      <c r="H6" s="49"/>
    </row>
    <row r="7" spans="1:8" ht="15.75">
      <c r="B7" s="48" t="s">
        <v>175</v>
      </c>
      <c r="C7" s="43">
        <v>492.495</v>
      </c>
      <c r="D7" s="43">
        <v>396.86700000000002</v>
      </c>
      <c r="E7" s="43">
        <v>529.34</v>
      </c>
      <c r="F7" s="43">
        <v>426.85</v>
      </c>
      <c r="G7" s="43">
        <v>513.95000000000005</v>
      </c>
      <c r="H7" s="49"/>
    </row>
    <row r="8" spans="1:8" ht="15.75">
      <c r="B8" s="48" t="s">
        <v>176</v>
      </c>
      <c r="C8" s="43">
        <v>459.95</v>
      </c>
      <c r="D8" s="43">
        <v>439.596</v>
      </c>
      <c r="E8" s="43">
        <v>619.596</v>
      </c>
      <c r="F8" s="43">
        <v>411.95400000000001</v>
      </c>
      <c r="G8" s="43">
        <v>234.965</v>
      </c>
      <c r="H8" s="49"/>
    </row>
    <row r="9" spans="1:8" ht="15.75">
      <c r="B9" s="48" t="s">
        <v>177</v>
      </c>
      <c r="C9" s="43">
        <v>632.39499999999998</v>
      </c>
      <c r="D9" s="43">
        <v>511.30500000000001</v>
      </c>
      <c r="E9" s="43">
        <v>634.29499999999996</v>
      </c>
      <c r="F9" s="43">
        <v>568.39499999999998</v>
      </c>
      <c r="G9" s="43">
        <v>534.49599999999998</v>
      </c>
      <c r="H9" s="49"/>
    </row>
    <row r="10" spans="1:8" ht="15.75">
      <c r="C10" s="47"/>
      <c r="D10" s="47"/>
      <c r="E10" s="47"/>
      <c r="F10" s="47"/>
      <c r="G10" s="47"/>
    </row>
    <row r="11" spans="1:8" ht="15.75">
      <c r="C11" s="47"/>
      <c r="D11" s="47"/>
      <c r="E11" s="47"/>
      <c r="F11" s="47"/>
      <c r="G11" s="47"/>
    </row>
    <row r="12" spans="1:8" ht="15.75">
      <c r="A12" s="1" t="s">
        <v>202</v>
      </c>
      <c r="C12" s="47"/>
      <c r="D12" s="47"/>
      <c r="E12" s="47"/>
      <c r="F12" s="47"/>
      <c r="G12" s="47"/>
    </row>
    <row r="13" spans="1:8" ht="15.75">
      <c r="B13" s="48" t="s">
        <v>192</v>
      </c>
      <c r="C13" s="51" t="s">
        <v>209</v>
      </c>
      <c r="D13" s="51"/>
      <c r="E13" s="51"/>
      <c r="F13" s="51"/>
      <c r="G13" s="51"/>
      <c r="H13" s="51"/>
    </row>
    <row r="14" spans="1:8" ht="15.75">
      <c r="B14" s="48" t="s">
        <v>169</v>
      </c>
      <c r="C14" s="43">
        <v>453.05</v>
      </c>
      <c r="D14" s="43">
        <v>335.10399999999998</v>
      </c>
      <c r="E14" s="43">
        <v>124.205</v>
      </c>
      <c r="F14" s="43">
        <v>123.459</v>
      </c>
      <c r="G14" s="43">
        <v>221.05</v>
      </c>
    </row>
    <row r="15" spans="1:8" ht="15.75">
      <c r="B15" s="48" t="s">
        <v>175</v>
      </c>
      <c r="C15" s="43">
        <v>446.49599999999998</v>
      </c>
      <c r="D15" s="43">
        <v>462.96</v>
      </c>
      <c r="E15" s="43">
        <v>554.65899999999999</v>
      </c>
      <c r="F15" s="43">
        <v>623.29</v>
      </c>
      <c r="G15" s="43">
        <v>456.94499999999999</v>
      </c>
    </row>
    <row r="16" spans="1:8" ht="15.75">
      <c r="B16" s="48" t="s">
        <v>176</v>
      </c>
      <c r="C16" s="43">
        <v>331.30500000000001</v>
      </c>
      <c r="D16" s="43">
        <v>235.035</v>
      </c>
      <c r="E16" s="43">
        <v>314.59399999999999</v>
      </c>
      <c r="F16" s="43">
        <v>212.405</v>
      </c>
      <c r="G16" s="43">
        <v>265.30500000000001</v>
      </c>
    </row>
    <row r="17" spans="1:8" ht="15.75">
      <c r="B17" s="48" t="s">
        <v>177</v>
      </c>
      <c r="C17" s="43">
        <v>958.69</v>
      </c>
      <c r="D17" s="43">
        <v>798.95</v>
      </c>
      <c r="E17" s="43">
        <v>867.59699999999998</v>
      </c>
      <c r="F17" s="43">
        <v>468.87</v>
      </c>
      <c r="G17" s="43">
        <v>876.976</v>
      </c>
    </row>
    <row r="18" spans="1:8" ht="15.75">
      <c r="B18" s="48"/>
      <c r="C18" s="43"/>
      <c r="D18" s="43"/>
      <c r="E18" s="43"/>
      <c r="F18" s="43"/>
      <c r="G18" s="43"/>
    </row>
    <row r="19" spans="1:8" ht="15.75">
      <c r="C19" s="47"/>
      <c r="D19" s="47"/>
      <c r="E19" s="47"/>
      <c r="F19" s="47"/>
      <c r="G19" s="47"/>
    </row>
    <row r="20" spans="1:8" ht="15.75">
      <c r="A20" s="1" t="s">
        <v>200</v>
      </c>
      <c r="C20" s="47"/>
      <c r="D20" s="47"/>
      <c r="E20" s="47"/>
      <c r="F20" s="47"/>
      <c r="G20" s="47"/>
    </row>
    <row r="21" spans="1:8" ht="15.75">
      <c r="B21" s="48" t="s">
        <v>192</v>
      </c>
      <c r="C21" s="51" t="s">
        <v>210</v>
      </c>
      <c r="D21" s="51"/>
      <c r="E21" s="51"/>
      <c r="F21" s="51"/>
      <c r="G21" s="51"/>
      <c r="H21" s="51"/>
    </row>
    <row r="22" spans="1:8" ht="15.75">
      <c r="B22" s="48" t="s">
        <v>169</v>
      </c>
      <c r="C22" s="43">
        <v>946.29300000000001</v>
      </c>
      <c r="D22" s="43">
        <v>589.97</v>
      </c>
      <c r="E22" s="43">
        <v>783.596</v>
      </c>
      <c r="F22" s="43">
        <v>667.39599999999996</v>
      </c>
      <c r="G22" s="43">
        <v>824.49599999999998</v>
      </c>
    </row>
    <row r="23" spans="1:8" ht="15.75">
      <c r="B23" s="48" t="s">
        <v>175</v>
      </c>
      <c r="C23" s="43">
        <v>1956.4949999999999</v>
      </c>
      <c r="D23" s="43">
        <v>1563.1949999999999</v>
      </c>
      <c r="E23" s="43">
        <v>1664.29</v>
      </c>
      <c r="F23" s="43">
        <v>1564.9449999999999</v>
      </c>
      <c r="G23" s="43">
        <v>1939.546</v>
      </c>
    </row>
    <row r="24" spans="1:8" ht="15.75">
      <c r="B24" s="48" t="s">
        <v>176</v>
      </c>
      <c r="C24" s="43">
        <v>1851.194</v>
      </c>
      <c r="D24" s="43">
        <v>1834.93</v>
      </c>
      <c r="E24" s="43">
        <v>1594.5429999999999</v>
      </c>
      <c r="F24" s="43">
        <v>1732.924</v>
      </c>
      <c r="G24" s="43">
        <v>1749.539</v>
      </c>
    </row>
    <row r="25" spans="1:8" ht="15.75">
      <c r="B25" s="48" t="s">
        <v>177</v>
      </c>
      <c r="C25" s="43">
        <v>2112.2840000000001</v>
      </c>
      <c r="D25" s="43">
        <v>2312.84</v>
      </c>
      <c r="E25" s="43">
        <v>2341.1280000000002</v>
      </c>
      <c r="F25" s="43">
        <v>2194.2840000000001</v>
      </c>
      <c r="G25" s="43">
        <v>2218.384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opLeftCell="A2" workbookViewId="0">
      <selection activeCell="A3" sqref="A3"/>
    </sheetView>
  </sheetViews>
  <sheetFormatPr defaultRowHeight="15"/>
  <cols>
    <col min="3" max="3" width="24.42578125" customWidth="1"/>
    <col min="4" max="4" width="14.5703125" customWidth="1"/>
    <col min="5" max="5" width="13.42578125" customWidth="1"/>
    <col min="6" max="6" width="11.85546875" customWidth="1"/>
    <col min="7" max="7" width="12" customWidth="1"/>
  </cols>
  <sheetData>
    <row r="1" spans="1:9">
      <c r="D1" s="97" t="s">
        <v>299</v>
      </c>
      <c r="E1" s="97"/>
      <c r="F1" s="97"/>
      <c r="G1" s="97"/>
      <c r="H1" s="1"/>
      <c r="I1" s="1"/>
    </row>
    <row r="3" spans="1:9">
      <c r="A3" t="s">
        <v>779</v>
      </c>
      <c r="D3" s="169" t="s">
        <v>298</v>
      </c>
      <c r="E3" s="171"/>
      <c r="F3" s="171"/>
      <c r="G3" s="171"/>
    </row>
    <row r="4" spans="1:9">
      <c r="C4" s="21" t="s">
        <v>277</v>
      </c>
      <c r="D4" s="111" t="s">
        <v>174</v>
      </c>
      <c r="E4" s="111" t="s">
        <v>204</v>
      </c>
      <c r="F4" s="111" t="s">
        <v>175</v>
      </c>
      <c r="G4" s="111" t="s">
        <v>177</v>
      </c>
      <c r="H4" s="8"/>
    </row>
    <row r="5" spans="1:9">
      <c r="C5" s="8" t="s">
        <v>278</v>
      </c>
      <c r="D5" s="8">
        <v>139.97999999999999</v>
      </c>
      <c r="E5" s="8">
        <v>133.57</v>
      </c>
      <c r="F5" s="8">
        <v>173.25</v>
      </c>
      <c r="G5" s="8">
        <v>159.96</v>
      </c>
    </row>
    <row r="6" spans="1:9">
      <c r="C6" s="8" t="s">
        <v>279</v>
      </c>
      <c r="D6" s="8">
        <v>90.67</v>
      </c>
      <c r="E6" s="8">
        <v>71.47</v>
      </c>
      <c r="F6" s="8">
        <v>58.2</v>
      </c>
      <c r="G6" s="8">
        <v>114.52</v>
      </c>
    </row>
    <row r="7" spans="1:9">
      <c r="C7" s="8" t="s">
        <v>280</v>
      </c>
      <c r="D7" s="8">
        <v>93.3</v>
      </c>
      <c r="E7" s="8">
        <v>73.7</v>
      </c>
      <c r="F7" s="8">
        <v>37.31</v>
      </c>
      <c r="G7" s="8">
        <v>88.92</v>
      </c>
    </row>
    <row r="8" spans="1:9">
      <c r="C8" s="8" t="s">
        <v>281</v>
      </c>
      <c r="D8" s="8">
        <v>206.42</v>
      </c>
      <c r="E8" s="8">
        <v>145.94</v>
      </c>
      <c r="F8" s="8">
        <v>56.97</v>
      </c>
      <c r="G8" s="8">
        <v>147.93</v>
      </c>
    </row>
    <row r="9" spans="1:9">
      <c r="C9" s="8" t="s">
        <v>282</v>
      </c>
      <c r="D9" s="8">
        <v>81.680000000000007</v>
      </c>
      <c r="E9" s="8">
        <v>60.51</v>
      </c>
      <c r="F9" s="8">
        <v>36.06</v>
      </c>
      <c r="G9" s="8">
        <v>70.78</v>
      </c>
    </row>
    <row r="10" spans="1:9">
      <c r="C10" s="8" t="s">
        <v>283</v>
      </c>
      <c r="D10" s="8">
        <v>36.93</v>
      </c>
      <c r="E10" s="8">
        <v>31.62</v>
      </c>
      <c r="F10" s="8">
        <v>28.69</v>
      </c>
      <c r="G10" s="8">
        <v>44.31</v>
      </c>
    </row>
    <row r="11" spans="1:9">
      <c r="C11" s="8" t="s">
        <v>284</v>
      </c>
      <c r="D11" s="8">
        <v>13.45</v>
      </c>
      <c r="E11" s="8">
        <v>13.18</v>
      </c>
      <c r="F11" s="8">
        <v>1.44</v>
      </c>
      <c r="G11" s="8">
        <v>1.91</v>
      </c>
    </row>
    <row r="12" spans="1:9">
      <c r="C12" s="8" t="s">
        <v>285</v>
      </c>
      <c r="D12" s="8">
        <v>8.76</v>
      </c>
      <c r="E12" s="8">
        <v>6.57</v>
      </c>
      <c r="F12" s="8">
        <v>4.28</v>
      </c>
      <c r="G12" s="8">
        <v>5.51</v>
      </c>
    </row>
    <row r="13" spans="1:9">
      <c r="C13" s="8" t="s">
        <v>286</v>
      </c>
      <c r="D13" s="8">
        <v>17.579999999999998</v>
      </c>
      <c r="E13" s="8">
        <v>14.73</v>
      </c>
      <c r="F13" s="8">
        <v>10.85</v>
      </c>
      <c r="G13" s="8">
        <v>14.81</v>
      </c>
    </row>
    <row r="14" spans="1:9">
      <c r="C14" s="8" t="s">
        <v>287</v>
      </c>
      <c r="D14" s="8">
        <v>1.78</v>
      </c>
      <c r="E14" s="8">
        <v>2.35</v>
      </c>
      <c r="F14" s="8">
        <v>0.57999999999999996</v>
      </c>
      <c r="G14" s="8">
        <v>1.28</v>
      </c>
    </row>
    <row r="15" spans="1:9">
      <c r="C15" s="8" t="s">
        <v>288</v>
      </c>
      <c r="D15" s="8">
        <v>7.09</v>
      </c>
      <c r="E15" s="8">
        <v>4.6399999999999997</v>
      </c>
      <c r="F15" s="8">
        <v>0.7</v>
      </c>
      <c r="G15" s="8">
        <v>4.8499999999999996</v>
      </c>
    </row>
    <row r="16" spans="1:9">
      <c r="C16" s="8" t="s">
        <v>289</v>
      </c>
      <c r="D16" s="8">
        <v>67.02</v>
      </c>
      <c r="E16" s="8">
        <v>51.64</v>
      </c>
      <c r="F16" s="8">
        <v>4.16</v>
      </c>
      <c r="G16" s="8">
        <v>21.87</v>
      </c>
    </row>
    <row r="17" spans="3:7">
      <c r="C17" s="62" t="s">
        <v>290</v>
      </c>
      <c r="D17" s="62">
        <v>3.15</v>
      </c>
      <c r="E17" s="62">
        <v>3.08</v>
      </c>
      <c r="F17" s="62">
        <v>0.81</v>
      </c>
      <c r="G17" s="62">
        <v>3.15</v>
      </c>
    </row>
    <row r="18" spans="3:7">
      <c r="C18" s="62" t="s">
        <v>291</v>
      </c>
      <c r="D18" s="62">
        <v>14.92</v>
      </c>
      <c r="E18" s="62">
        <v>12.34</v>
      </c>
      <c r="F18" s="62">
        <v>5.56</v>
      </c>
      <c r="G18" s="62">
        <v>14.03</v>
      </c>
    </row>
    <row r="19" spans="3:7">
      <c r="C19" s="62" t="s">
        <v>292</v>
      </c>
      <c r="D19" s="62">
        <v>6.15</v>
      </c>
      <c r="E19" s="62">
        <v>9.2200000000000006</v>
      </c>
      <c r="F19" s="62">
        <v>3.4</v>
      </c>
      <c r="G19" s="62">
        <v>2.34</v>
      </c>
    </row>
    <row r="20" spans="3:7">
      <c r="C20" s="62" t="s">
        <v>293</v>
      </c>
      <c r="D20" s="62">
        <v>2.4700000000000002</v>
      </c>
      <c r="E20" s="62">
        <v>1.38</v>
      </c>
      <c r="F20" s="62">
        <v>0.19</v>
      </c>
      <c r="G20" s="62">
        <v>0.19</v>
      </c>
    </row>
    <row r="21" spans="3:7">
      <c r="C21" s="62" t="s">
        <v>294</v>
      </c>
      <c r="D21" s="62">
        <v>11.1</v>
      </c>
      <c r="E21" s="62">
        <v>16.18</v>
      </c>
      <c r="F21" s="62">
        <v>0.62</v>
      </c>
      <c r="G21" s="62">
        <v>11.1</v>
      </c>
    </row>
    <row r="22" spans="3:7">
      <c r="C22" s="62" t="s">
        <v>295</v>
      </c>
      <c r="D22" s="62">
        <v>186.92</v>
      </c>
      <c r="E22" s="62">
        <v>146.56</v>
      </c>
      <c r="F22" s="62">
        <v>64.569999999999993</v>
      </c>
      <c r="G22" s="62">
        <v>105.23</v>
      </c>
    </row>
    <row r="23" spans="3:7">
      <c r="C23" s="62" t="s">
        <v>303</v>
      </c>
      <c r="D23" s="62">
        <v>10.66</v>
      </c>
      <c r="E23" s="62">
        <v>7.81</v>
      </c>
      <c r="F23" s="62">
        <v>0.74</v>
      </c>
      <c r="G23" s="62">
        <v>17.649999999999999</v>
      </c>
    </row>
    <row r="24" spans="3:7">
      <c r="C24" s="62" t="s">
        <v>302</v>
      </c>
      <c r="D24" s="62">
        <v>21.47</v>
      </c>
      <c r="E24" s="62">
        <v>18.649999999999999</v>
      </c>
      <c r="F24" s="62">
        <v>28.19</v>
      </c>
      <c r="G24" s="62">
        <v>10.72</v>
      </c>
    </row>
    <row r="25" spans="3:7">
      <c r="C25" s="62" t="s">
        <v>296</v>
      </c>
      <c r="D25" s="8">
        <v>21.2</v>
      </c>
      <c r="E25" s="8">
        <v>16.149999999999999</v>
      </c>
      <c r="F25" s="8">
        <v>10.49</v>
      </c>
      <c r="G25" s="8">
        <v>23.44</v>
      </c>
    </row>
    <row r="26" spans="3:7">
      <c r="C26" s="62" t="s">
        <v>297</v>
      </c>
      <c r="D26" s="62">
        <v>3.49</v>
      </c>
      <c r="E26" s="62">
        <v>2.09</v>
      </c>
      <c r="F26" s="62">
        <v>0.01</v>
      </c>
      <c r="G26" s="62">
        <v>3.23</v>
      </c>
    </row>
    <row r="27" spans="3:7">
      <c r="C27" s="62" t="s">
        <v>300</v>
      </c>
      <c r="D27" s="62">
        <v>7.38</v>
      </c>
      <c r="E27" s="62">
        <v>3.98</v>
      </c>
      <c r="F27" s="62">
        <v>1.82</v>
      </c>
      <c r="G27" s="62">
        <v>4.63</v>
      </c>
    </row>
    <row r="28" spans="3:7">
      <c r="C28" s="62" t="s">
        <v>301</v>
      </c>
      <c r="D28" s="62">
        <v>206.48</v>
      </c>
      <c r="E28" s="62">
        <v>153.94999999999999</v>
      </c>
      <c r="F28" s="62">
        <v>54.65</v>
      </c>
      <c r="G28" s="62">
        <v>235.81</v>
      </c>
    </row>
  </sheetData>
  <mergeCells count="1">
    <mergeCell ref="D3:G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workbookViewId="0"/>
  </sheetViews>
  <sheetFormatPr defaultRowHeight="15"/>
  <cols>
    <col min="1" max="16384" width="9.140625" style="8"/>
  </cols>
  <sheetData>
    <row r="1" spans="1:19">
      <c r="A1" s="8" t="s">
        <v>780</v>
      </c>
    </row>
    <row r="2" spans="1:19" ht="15.75">
      <c r="A2" s="168" t="s">
        <v>215</v>
      </c>
      <c r="B2" s="168"/>
      <c r="C2" s="168"/>
      <c r="D2" s="168"/>
      <c r="E2" s="168"/>
      <c r="F2" s="168"/>
    </row>
    <row r="3" spans="1:19" ht="15.75">
      <c r="A3" s="168"/>
      <c r="B3" s="168"/>
      <c r="C3" s="168"/>
      <c r="D3" s="168"/>
      <c r="E3" s="168"/>
      <c r="F3" s="168"/>
    </row>
    <row r="4" spans="1:19">
      <c r="B4" s="175" t="s">
        <v>181</v>
      </c>
      <c r="C4" s="175"/>
      <c r="D4" s="175"/>
      <c r="E4" s="21"/>
      <c r="F4" s="175" t="s">
        <v>211</v>
      </c>
      <c r="G4" s="175"/>
      <c r="H4" s="175"/>
      <c r="I4" s="21"/>
      <c r="J4" s="100" t="s">
        <v>191</v>
      </c>
      <c r="K4" s="21"/>
      <c r="L4" s="21"/>
      <c r="M4" s="21"/>
      <c r="N4" s="21" t="s">
        <v>183</v>
      </c>
      <c r="O4" s="21" t="s">
        <v>212</v>
      </c>
      <c r="P4" s="21"/>
      <c r="Q4" s="21" t="s">
        <v>185</v>
      </c>
      <c r="R4" s="21"/>
      <c r="S4" s="21" t="s">
        <v>186</v>
      </c>
    </row>
    <row r="5" spans="1:19">
      <c r="A5" s="21" t="s">
        <v>201</v>
      </c>
      <c r="B5" s="21" t="s">
        <v>187</v>
      </c>
      <c r="C5" s="21" t="s">
        <v>188</v>
      </c>
      <c r="D5" s="21" t="s">
        <v>189</v>
      </c>
      <c r="E5" s="21"/>
      <c r="F5" s="21" t="s">
        <v>190</v>
      </c>
      <c r="G5" s="21" t="s">
        <v>188</v>
      </c>
      <c r="H5" s="21" t="s">
        <v>189</v>
      </c>
    </row>
    <row r="6" spans="1:19">
      <c r="A6" s="8" t="s">
        <v>169</v>
      </c>
      <c r="B6" s="8">
        <v>23.197013854980401</v>
      </c>
      <c r="C6" s="8">
        <v>23.164014816284102</v>
      </c>
      <c r="D6" s="8">
        <v>23.1878948211669</v>
      </c>
      <c r="E6" s="62"/>
      <c r="F6" s="8">
        <v>17.5556831359863</v>
      </c>
      <c r="G6" s="8">
        <v>17.5501689910888</v>
      </c>
      <c r="H6" s="8">
        <v>17.5832195281982</v>
      </c>
      <c r="J6" s="8">
        <f>B6-F6</f>
        <v>5.6413307189941015</v>
      </c>
      <c r="K6" s="8">
        <f>C6-G6</f>
        <v>5.6138458251953018</v>
      </c>
      <c r="L6" s="8">
        <f>D6-H6</f>
        <v>5.6046752929687003</v>
      </c>
      <c r="N6" s="8">
        <f>AVERAGE(L6,J6)</f>
        <v>5.6230030059814009</v>
      </c>
      <c r="O6" s="8">
        <f>STDEV(J6,L6)</f>
        <v>2.5919300309843105E-2</v>
      </c>
      <c r="Q6" s="8">
        <f>N6-N6</f>
        <v>0</v>
      </c>
      <c r="S6" s="8">
        <f>POWER(2,-Q6)</f>
        <v>1</v>
      </c>
    </row>
    <row r="7" spans="1:19">
      <c r="A7" s="8" t="s">
        <v>213</v>
      </c>
      <c r="B7" s="8">
        <v>23.730907440185547</v>
      </c>
      <c r="C7" s="8">
        <v>23.704206466674805</v>
      </c>
      <c r="D7" s="8">
        <v>23.66761589050293</v>
      </c>
      <c r="E7" s="62"/>
      <c r="F7" s="8">
        <v>18.660923004150298</v>
      </c>
      <c r="G7" s="8">
        <v>18.628047943115199</v>
      </c>
      <c r="H7" s="8">
        <v>18.794960021972599</v>
      </c>
      <c r="J7" s="8">
        <f t="shared" ref="J7:L9" si="0">B7-F7</f>
        <v>5.0699844360352486</v>
      </c>
      <c r="K7" s="8">
        <f t="shared" si="0"/>
        <v>5.0761585235596058</v>
      </c>
      <c r="L7" s="8">
        <f t="shared" si="0"/>
        <v>4.8726558685303303</v>
      </c>
      <c r="N7" s="8">
        <f t="shared" ref="N7:N9" si="1">AVERAGE(J7:L7)</f>
        <v>5.0062662760417282</v>
      </c>
      <c r="O7" s="8">
        <f t="shared" ref="O7:O9" si="2">STDEV(J7:L7)</f>
        <v>0.11575117962988964</v>
      </c>
      <c r="Q7" s="8">
        <f>N7-N6</f>
        <v>-0.61673672993967266</v>
      </c>
      <c r="S7" s="8">
        <f t="shared" ref="S7:S9" si="3">POWER(2,-Q7)</f>
        <v>1.5334028112810754</v>
      </c>
    </row>
    <row r="8" spans="1:19">
      <c r="A8" s="8" t="s">
        <v>170</v>
      </c>
      <c r="B8" s="8">
        <v>23.721628189086914</v>
      </c>
      <c r="C8" s="8">
        <v>23.676643371582031</v>
      </c>
      <c r="D8" s="8">
        <v>23.68878173828125</v>
      </c>
      <c r="E8" s="62"/>
      <c r="F8" s="8">
        <v>18.773880004882798</v>
      </c>
      <c r="G8" s="8">
        <v>18.740482330322202</v>
      </c>
      <c r="H8" s="8">
        <v>18.930831909179599</v>
      </c>
      <c r="J8" s="8">
        <f t="shared" si="0"/>
        <v>4.9477481842041158</v>
      </c>
      <c r="K8" s="8">
        <f t="shared" si="0"/>
        <v>4.9361610412598296</v>
      </c>
      <c r="L8" s="8">
        <f t="shared" si="0"/>
        <v>4.7579498291016513</v>
      </c>
      <c r="N8" s="8">
        <f t="shared" si="1"/>
        <v>4.8806196848551986</v>
      </c>
      <c r="O8" s="8">
        <f t="shared" si="2"/>
        <v>0.10639307121871215</v>
      </c>
      <c r="Q8" s="8">
        <f>N8-N6</f>
        <v>-0.74238332112620231</v>
      </c>
      <c r="S8" s="8">
        <f t="shared" si="3"/>
        <v>1.6729372367899846</v>
      </c>
    </row>
    <row r="9" spans="1:19">
      <c r="A9" s="62" t="s">
        <v>214</v>
      </c>
      <c r="B9" s="8">
        <v>23.4636917114257</v>
      </c>
      <c r="C9" s="8">
        <v>23.346321105956999</v>
      </c>
      <c r="D9" s="8">
        <v>23.2782897949218</v>
      </c>
      <c r="E9" s="62"/>
      <c r="F9" s="8">
        <v>18.365337371826101</v>
      </c>
      <c r="G9" s="8">
        <v>18.278547286987305</v>
      </c>
      <c r="H9" s="8">
        <v>18.277553558349609</v>
      </c>
      <c r="J9" s="8">
        <f t="shared" si="0"/>
        <v>5.0983543395995987</v>
      </c>
      <c r="K9" s="8">
        <f t="shared" si="0"/>
        <v>5.0677738189696946</v>
      </c>
      <c r="L9" s="8">
        <f t="shared" si="0"/>
        <v>5.000736236572191</v>
      </c>
      <c r="N9" s="8">
        <f t="shared" si="1"/>
        <v>5.0556214650471611</v>
      </c>
      <c r="O9" s="8">
        <f t="shared" si="2"/>
        <v>4.9930784983427567E-2</v>
      </c>
      <c r="Q9" s="8">
        <f>N9-N6</f>
        <v>-0.56738154093423976</v>
      </c>
      <c r="S9" s="8">
        <f t="shared" si="3"/>
        <v>1.4818316373603146</v>
      </c>
    </row>
    <row r="12" spans="1:19">
      <c r="A12" s="8" t="s">
        <v>169</v>
      </c>
      <c r="B12" s="8">
        <v>23.837009429931641</v>
      </c>
      <c r="C12" s="8">
        <v>23.730243682861328</v>
      </c>
      <c r="D12" s="8">
        <v>23.634544372558594</v>
      </c>
      <c r="E12" s="62"/>
      <c r="F12" s="8">
        <v>18.481914520263672</v>
      </c>
      <c r="G12" s="8">
        <v>18.441703796386719</v>
      </c>
      <c r="H12" s="8">
        <v>18.441473007202148</v>
      </c>
      <c r="I12" s="62"/>
      <c r="J12" s="62">
        <f>B12-F12</f>
        <v>5.3550949096679688</v>
      </c>
      <c r="K12" s="62">
        <f>C12-G12</f>
        <v>5.2885398864746094</v>
      </c>
      <c r="L12" s="62">
        <f>D12-H12</f>
        <v>5.1930713653564453</v>
      </c>
      <c r="M12" s="62"/>
      <c r="N12" s="62">
        <f>AVERAGE(L12,J12)</f>
        <v>5.274083137512207</v>
      </c>
      <c r="O12" s="8">
        <f>STDEV(J12,L12)</f>
        <v>0.11456794689455729</v>
      </c>
      <c r="Q12" s="8">
        <f>N12-N12</f>
        <v>0</v>
      </c>
      <c r="S12" s="8">
        <f>POWER(2,-Q12)</f>
        <v>1</v>
      </c>
    </row>
    <row r="13" spans="1:19">
      <c r="A13" s="8" t="s">
        <v>213</v>
      </c>
      <c r="B13" s="8">
        <v>23.92945671081543</v>
      </c>
      <c r="C13" s="8">
        <v>23.878225326538086</v>
      </c>
      <c r="D13" s="8">
        <v>23.808538436889648</v>
      </c>
      <c r="E13" s="62"/>
      <c r="F13" s="8">
        <v>18.577861785888672</v>
      </c>
      <c r="G13" s="8">
        <v>18.498493194580078</v>
      </c>
      <c r="H13" s="8">
        <v>18.447044372558594</v>
      </c>
      <c r="I13" s="62"/>
      <c r="J13" s="62">
        <f t="shared" ref="J13:L15" si="4">B13-F13</f>
        <v>5.3515949249267578</v>
      </c>
      <c r="K13" s="62">
        <f t="shared" si="4"/>
        <v>5.3797321319580078</v>
      </c>
      <c r="L13" s="62">
        <f t="shared" si="4"/>
        <v>5.3614940643310547</v>
      </c>
      <c r="M13" s="62"/>
      <c r="N13" s="62">
        <f t="shared" ref="N13:N15" si="5">AVERAGE(J13:L13)</f>
        <v>5.3642737070719404</v>
      </c>
      <c r="O13" s="8">
        <f t="shared" ref="O13:O15" si="6">STDEV(J13:L13)</f>
        <v>1.4273066075832265E-2</v>
      </c>
      <c r="Q13" s="8">
        <f>N13-N12</f>
        <v>9.0190569559733369E-2</v>
      </c>
      <c r="S13" s="8">
        <f t="shared" ref="S13:S15" si="7">POWER(2,-Q13)</f>
        <v>0.93939865326380245</v>
      </c>
    </row>
    <row r="14" spans="1:19">
      <c r="A14" s="8" t="s">
        <v>170</v>
      </c>
      <c r="B14" s="8">
        <v>23.348348617553711</v>
      </c>
      <c r="C14" s="8">
        <v>23.347772598266602</v>
      </c>
      <c r="D14" s="8">
        <v>23.35755729675293</v>
      </c>
      <c r="E14" s="62"/>
      <c r="F14" s="8">
        <v>17.926519393920898</v>
      </c>
      <c r="G14" s="8">
        <v>17.939990997314453</v>
      </c>
      <c r="H14" s="8">
        <v>17.9521484375</v>
      </c>
      <c r="I14" s="62"/>
      <c r="J14" s="62">
        <f t="shared" si="4"/>
        <v>5.4218292236328125</v>
      </c>
      <c r="K14" s="62">
        <f t="shared" si="4"/>
        <v>5.4077816009521484</v>
      </c>
      <c r="L14" s="62">
        <f t="shared" si="4"/>
        <v>5.4054088592529297</v>
      </c>
      <c r="M14" s="62"/>
      <c r="N14" s="62">
        <f t="shared" si="5"/>
        <v>5.4116732279459638</v>
      </c>
      <c r="O14" s="8">
        <f t="shared" si="6"/>
        <v>8.8750020893672964E-3</v>
      </c>
      <c r="Q14" s="8">
        <f>N14-N12</f>
        <v>0.13759009043375681</v>
      </c>
      <c r="S14" s="8">
        <f t="shared" si="7"/>
        <v>0.90903636213395411</v>
      </c>
    </row>
    <row r="15" spans="1:19">
      <c r="A15" s="62" t="s">
        <v>214</v>
      </c>
      <c r="B15" s="8">
        <v>22.94175910949707</v>
      </c>
      <c r="C15" s="8">
        <v>22.961244583129883</v>
      </c>
      <c r="D15" s="8">
        <v>22.897666931152344</v>
      </c>
      <c r="E15" s="62"/>
      <c r="F15" s="8">
        <v>17.497140884399414</v>
      </c>
      <c r="G15" s="8">
        <v>17.376054763793945</v>
      </c>
      <c r="H15" s="8">
        <v>17.347793579101563</v>
      </c>
      <c r="I15" s="62"/>
      <c r="J15" s="62">
        <f t="shared" si="4"/>
        <v>5.4446182250976563</v>
      </c>
      <c r="K15" s="62">
        <f t="shared" si="4"/>
        <v>5.5851898193359375</v>
      </c>
      <c r="L15" s="62">
        <f t="shared" si="4"/>
        <v>5.5498733520507813</v>
      </c>
      <c r="M15" s="62"/>
      <c r="N15" s="62">
        <f t="shared" si="5"/>
        <v>5.526560465494792</v>
      </c>
      <c r="O15" s="8">
        <f t="shared" si="6"/>
        <v>7.3128047193620094E-2</v>
      </c>
      <c r="Q15" s="8">
        <f>N15-N12</f>
        <v>0.25247732798258493</v>
      </c>
      <c r="S15" s="8">
        <f t="shared" si="7"/>
        <v>0.8394537065604496</v>
      </c>
    </row>
    <row r="16" spans="1:19">
      <c r="A16" s="62"/>
      <c r="B16" s="62"/>
      <c r="C16" s="62"/>
      <c r="D16" s="62"/>
      <c r="E16" s="62"/>
      <c r="F16" s="62"/>
      <c r="G16" s="63"/>
      <c r="H16" s="62"/>
      <c r="I16" s="62"/>
      <c r="J16" s="62"/>
      <c r="K16" s="62"/>
      <c r="L16" s="62"/>
      <c r="M16" s="62"/>
      <c r="N16" s="62"/>
    </row>
    <row r="17" spans="1:19">
      <c r="A17" s="8" t="s">
        <v>169</v>
      </c>
      <c r="B17" s="8">
        <v>24.623857498168945</v>
      </c>
      <c r="C17" s="8">
        <v>24.4063720703125</v>
      </c>
      <c r="D17" s="8">
        <v>24.510143280029297</v>
      </c>
      <c r="E17" s="62"/>
      <c r="F17" s="8">
        <v>18.551069259643501</v>
      </c>
      <c r="G17" s="8">
        <v>18.483089447021399</v>
      </c>
      <c r="H17" s="8">
        <v>18.658195495605401</v>
      </c>
      <c r="I17" s="62"/>
      <c r="J17" s="62">
        <f>B17-F17</f>
        <v>6.0727882385254439</v>
      </c>
      <c r="K17" s="62">
        <f>C17-G17</f>
        <v>5.9232826232911009</v>
      </c>
      <c r="L17" s="62">
        <f>D17-H17</f>
        <v>5.8519477844238956</v>
      </c>
      <c r="M17" s="62"/>
      <c r="N17" s="62">
        <f>AVERAGE(L17,J17)</f>
        <v>5.9623680114746698</v>
      </c>
      <c r="O17" s="8">
        <f>STDEV(J17,L17)</f>
        <v>0.1561577826555213</v>
      </c>
      <c r="Q17" s="8">
        <f>N17-N17</f>
        <v>0</v>
      </c>
      <c r="S17" s="8">
        <f>POWER(2,-Q17)</f>
        <v>1</v>
      </c>
    </row>
    <row r="18" spans="1:19">
      <c r="A18" s="8" t="s">
        <v>213</v>
      </c>
      <c r="B18" s="8">
        <v>23.940999984741211</v>
      </c>
      <c r="C18" s="8">
        <v>23.952091217041016</v>
      </c>
      <c r="D18" s="8">
        <v>23.946662902832031</v>
      </c>
      <c r="E18" s="62"/>
      <c r="F18" s="8">
        <v>18.934463500976563</v>
      </c>
      <c r="G18" s="8">
        <v>18.923151016235352</v>
      </c>
      <c r="H18" s="8">
        <v>18.924396514892578</v>
      </c>
      <c r="I18" s="62"/>
      <c r="J18" s="62">
        <f t="shared" ref="J18:L20" si="8">B18-F18</f>
        <v>5.0065364837646484</v>
      </c>
      <c r="K18" s="62">
        <f t="shared" si="8"/>
        <v>5.0289402008056641</v>
      </c>
      <c r="L18" s="62">
        <f t="shared" si="8"/>
        <v>5.0222663879394531</v>
      </c>
      <c r="M18" s="62"/>
      <c r="N18" s="62">
        <f t="shared" ref="N18:N20" si="9">AVERAGE(J18:L18)</f>
        <v>5.0192476908365888</v>
      </c>
      <c r="O18" s="8">
        <f t="shared" ref="O18:O20" si="10">STDEV(J18:L18)</f>
        <v>1.1502870661822019E-2</v>
      </c>
      <c r="Q18" s="8">
        <f>N18-N17</f>
        <v>-0.94312032063808093</v>
      </c>
      <c r="S18" s="8">
        <f t="shared" ref="S18:S20" si="11">POWER(2,-Q18)</f>
        <v>1.9226822016156473</v>
      </c>
    </row>
    <row r="19" spans="1:19">
      <c r="A19" s="8" t="s">
        <v>170</v>
      </c>
      <c r="B19" s="8">
        <v>22.980039596557617</v>
      </c>
      <c r="C19" s="8">
        <v>22.863437652587891</v>
      </c>
      <c r="D19" s="8">
        <v>22.846248626708984</v>
      </c>
      <c r="E19" s="62"/>
      <c r="F19" s="8">
        <v>17.535451889038086</v>
      </c>
      <c r="G19" s="8">
        <v>17.472841262817383</v>
      </c>
      <c r="H19" s="8">
        <v>17.495452880859375</v>
      </c>
      <c r="I19" s="62"/>
      <c r="J19" s="62">
        <f t="shared" si="8"/>
        <v>5.4445877075195313</v>
      </c>
      <c r="K19" s="62">
        <f t="shared" si="8"/>
        <v>5.3905963897705078</v>
      </c>
      <c r="L19" s="62">
        <f t="shared" si="8"/>
        <v>5.3507957458496094</v>
      </c>
      <c r="M19" s="62"/>
      <c r="N19" s="62">
        <f t="shared" si="9"/>
        <v>5.3953266143798828</v>
      </c>
      <c r="O19" s="8">
        <f t="shared" si="10"/>
        <v>4.707456093384596E-2</v>
      </c>
      <c r="Q19" s="8">
        <f>N19-N17</f>
        <v>-0.56704139709478696</v>
      </c>
      <c r="S19" s="8">
        <f t="shared" si="11"/>
        <v>1.4814823074778847</v>
      </c>
    </row>
    <row r="20" spans="1:19">
      <c r="A20" s="62" t="s">
        <v>214</v>
      </c>
      <c r="B20" s="8">
        <v>23.744132995605469</v>
      </c>
      <c r="C20" s="8">
        <v>23.784980773925781</v>
      </c>
      <c r="D20" s="8">
        <v>23.710346221923828</v>
      </c>
      <c r="E20" s="62"/>
      <c r="F20" s="8">
        <v>19.201627731323242</v>
      </c>
      <c r="G20" s="8">
        <v>19.17657470703125</v>
      </c>
      <c r="H20" s="8">
        <v>19.173995971679688</v>
      </c>
      <c r="I20" s="62"/>
      <c r="J20" s="62">
        <f t="shared" si="8"/>
        <v>4.5425052642822266</v>
      </c>
      <c r="K20" s="62">
        <f t="shared" si="8"/>
        <v>4.6084060668945313</v>
      </c>
      <c r="L20" s="62">
        <f t="shared" si="8"/>
        <v>4.5363502502441406</v>
      </c>
      <c r="M20" s="62"/>
      <c r="N20" s="62">
        <f t="shared" si="9"/>
        <v>4.5624205271402998</v>
      </c>
      <c r="O20" s="8">
        <f t="shared" si="10"/>
        <v>3.9943378040900368E-2</v>
      </c>
      <c r="Q20" s="8">
        <f>N20-N17</f>
        <v>-1.39994748433437</v>
      </c>
      <c r="S20" s="8">
        <f t="shared" si="11"/>
        <v>2.6389197602534349</v>
      </c>
    </row>
    <row r="21" spans="1:19">
      <c r="A21" s="62"/>
      <c r="B21" s="62"/>
      <c r="C21" s="62"/>
      <c r="D21" s="62"/>
      <c r="E21" s="62"/>
      <c r="F21" s="63"/>
      <c r="G21" s="63"/>
      <c r="H21" s="62"/>
      <c r="I21" s="62"/>
      <c r="J21" s="62"/>
      <c r="K21" s="62"/>
      <c r="L21" s="62"/>
      <c r="M21" s="62"/>
      <c r="N21" s="62"/>
    </row>
    <row r="22" spans="1:19">
      <c r="A22" s="62"/>
      <c r="E22" s="62"/>
      <c r="I22" s="62"/>
      <c r="J22" s="62"/>
      <c r="K22" s="62"/>
      <c r="L22" s="62"/>
      <c r="M22" s="62"/>
      <c r="N22" s="62"/>
    </row>
    <row r="23" spans="1:19">
      <c r="A23" s="21" t="s">
        <v>202</v>
      </c>
    </row>
    <row r="24" spans="1:19">
      <c r="A24" s="8" t="s">
        <v>169</v>
      </c>
      <c r="B24" s="8">
        <v>23.404</v>
      </c>
      <c r="C24" s="8">
        <v>23.149000000000001</v>
      </c>
      <c r="D24" s="8">
        <v>23.638999999999999</v>
      </c>
      <c r="E24" s="62"/>
      <c r="F24" s="8">
        <v>17.388000000000002</v>
      </c>
      <c r="G24" s="8">
        <v>17.393999999999998</v>
      </c>
      <c r="H24" s="8">
        <v>17.623000000000001</v>
      </c>
      <c r="J24" s="8">
        <f>B24-F24</f>
        <v>6.0159999999999982</v>
      </c>
      <c r="K24" s="8">
        <f>C24-G24</f>
        <v>5.7550000000000026</v>
      </c>
      <c r="L24" s="8">
        <f>D24-H24</f>
        <v>6.0159999999999982</v>
      </c>
      <c r="N24" s="8">
        <f>AVERAGE(L24,J24)</f>
        <v>6.0159999999999982</v>
      </c>
      <c r="O24" s="8">
        <f>STDEV(J24,L24)</f>
        <v>0</v>
      </c>
      <c r="Q24" s="8">
        <f>N24-N24</f>
        <v>0</v>
      </c>
      <c r="S24" s="8">
        <f>POWER(2,-Q24)</f>
        <v>1</v>
      </c>
    </row>
    <row r="25" spans="1:19">
      <c r="A25" s="8" t="s">
        <v>213</v>
      </c>
      <c r="B25" s="8">
        <v>23.603000000000002</v>
      </c>
      <c r="C25" s="8">
        <v>23.105</v>
      </c>
      <c r="D25" s="8">
        <v>23.405999999999999</v>
      </c>
      <c r="E25" s="62"/>
      <c r="F25" s="8">
        <v>17.393999999999998</v>
      </c>
      <c r="G25" s="8">
        <v>17.234999999999999</v>
      </c>
      <c r="H25" s="8">
        <v>17.411000000000001</v>
      </c>
      <c r="J25" s="8">
        <f t="shared" ref="J25:L27" si="12">B25-F25</f>
        <v>6.2090000000000032</v>
      </c>
      <c r="K25" s="8">
        <f t="shared" si="12"/>
        <v>5.870000000000001</v>
      </c>
      <c r="L25" s="8">
        <f t="shared" si="12"/>
        <v>5.9949999999999974</v>
      </c>
      <c r="N25" s="8">
        <f t="shared" ref="N25:N27" si="13">AVERAGE(J25:L25)</f>
        <v>6.0246666666666675</v>
      </c>
      <c r="O25" s="8">
        <f t="shared" ref="O25:O27" si="14">STDEV(J25:L25)</f>
        <v>0.17143609110491828</v>
      </c>
      <c r="Q25" s="8">
        <f>N25-N24</f>
        <v>8.6666666666692649E-3</v>
      </c>
      <c r="S25" s="8">
        <f t="shared" ref="S25:S27" si="15">POWER(2,-Q25)</f>
        <v>0.99401073203807955</v>
      </c>
    </row>
    <row r="26" spans="1:19">
      <c r="A26" s="8" t="s">
        <v>170</v>
      </c>
      <c r="B26" s="8">
        <v>23.300999999999998</v>
      </c>
      <c r="C26" s="8">
        <v>23.904</v>
      </c>
      <c r="D26" s="8">
        <v>23.12</v>
      </c>
      <c r="E26" s="62"/>
      <c r="F26" s="8">
        <v>17.521000000000001</v>
      </c>
      <c r="G26" s="8">
        <v>17.945</v>
      </c>
      <c r="H26" s="8">
        <v>17.143000000000001</v>
      </c>
      <c r="J26" s="8">
        <f t="shared" si="12"/>
        <v>5.7799999999999976</v>
      </c>
      <c r="K26" s="8">
        <f t="shared" si="12"/>
        <v>5.9589999999999996</v>
      </c>
      <c r="L26" s="8">
        <f t="shared" si="12"/>
        <v>5.9770000000000003</v>
      </c>
      <c r="N26" s="8">
        <f t="shared" si="13"/>
        <v>5.9053333333333322</v>
      </c>
      <c r="O26" s="8">
        <f t="shared" si="14"/>
        <v>0.10891433942935906</v>
      </c>
      <c r="Q26" s="8">
        <f>N26-N24</f>
        <v>-0.11066666666666602</v>
      </c>
      <c r="S26" s="8">
        <f t="shared" si="15"/>
        <v>1.0797270610880441</v>
      </c>
    </row>
    <row r="27" spans="1:19">
      <c r="A27" s="62" t="s">
        <v>214</v>
      </c>
      <c r="B27" s="8">
        <v>23.405000000000001</v>
      </c>
      <c r="C27" s="8">
        <v>23.1</v>
      </c>
      <c r="D27" s="8">
        <v>23.504000000000001</v>
      </c>
      <c r="E27" s="62"/>
      <c r="F27" s="8">
        <v>17.6358</v>
      </c>
      <c r="G27" s="8">
        <v>17.48</v>
      </c>
      <c r="H27" s="8">
        <v>17.254000000000001</v>
      </c>
      <c r="J27" s="8">
        <f t="shared" si="12"/>
        <v>5.7692000000000014</v>
      </c>
      <c r="K27" s="8">
        <f t="shared" si="12"/>
        <v>5.620000000000001</v>
      </c>
      <c r="L27" s="8">
        <f t="shared" si="12"/>
        <v>6.25</v>
      </c>
      <c r="N27" s="8">
        <f t="shared" si="13"/>
        <v>5.8797333333333341</v>
      </c>
      <c r="O27" s="8">
        <f t="shared" si="14"/>
        <v>0.32922365245123703</v>
      </c>
      <c r="Q27" s="8">
        <f>N27-N24</f>
        <v>-0.13626666666666409</v>
      </c>
      <c r="S27" s="8">
        <f t="shared" si="15"/>
        <v>1.099057347736915</v>
      </c>
    </row>
    <row r="30" spans="1:19">
      <c r="A30" s="8" t="s">
        <v>169</v>
      </c>
      <c r="B30" s="8">
        <v>24.503</v>
      </c>
      <c r="C30" s="8">
        <v>24.138999999999999</v>
      </c>
      <c r="D30" s="8">
        <v>24.829000000000001</v>
      </c>
      <c r="E30" s="62"/>
      <c r="F30" s="8">
        <v>18.283999999999999</v>
      </c>
      <c r="G30" s="8">
        <v>18.512</v>
      </c>
      <c r="H30" s="8">
        <v>18.742999999999999</v>
      </c>
      <c r="I30" s="62"/>
      <c r="J30" s="62">
        <f>B30-F30</f>
        <v>6.2190000000000012</v>
      </c>
      <c r="K30" s="62">
        <f>C30-G30</f>
        <v>5.6269999999999989</v>
      </c>
      <c r="L30" s="62">
        <f>D30-H30</f>
        <v>6.0860000000000021</v>
      </c>
      <c r="M30" s="62"/>
      <c r="N30" s="62">
        <f>AVERAGE(L30,J30)</f>
        <v>6.1525000000000016</v>
      </c>
      <c r="O30" s="8">
        <f>STDEV(J30,L30)</f>
        <v>9.4045201897810196E-2</v>
      </c>
      <c r="Q30" s="8">
        <f>N30-N30</f>
        <v>0</v>
      </c>
      <c r="S30" s="8">
        <f>POWER(2,-Q30)</f>
        <v>1</v>
      </c>
    </row>
    <row r="31" spans="1:19">
      <c r="A31" s="8" t="s">
        <v>213</v>
      </c>
      <c r="B31" s="8">
        <v>22.36</v>
      </c>
      <c r="C31" s="8">
        <v>22.431000000000001</v>
      </c>
      <c r="D31" s="8">
        <v>22.311</v>
      </c>
      <c r="E31" s="62"/>
      <c r="F31" s="8">
        <v>17.359000000000002</v>
      </c>
      <c r="G31" s="8">
        <v>17.114999999999998</v>
      </c>
      <c r="H31" s="8">
        <v>17.591999999999999</v>
      </c>
      <c r="I31" s="62"/>
      <c r="J31" s="62">
        <f t="shared" ref="J31:L33" si="16">B31-F31</f>
        <v>5.0009999999999977</v>
      </c>
      <c r="K31" s="62">
        <f t="shared" si="16"/>
        <v>5.3160000000000025</v>
      </c>
      <c r="L31" s="62">
        <f t="shared" si="16"/>
        <v>4.7190000000000012</v>
      </c>
      <c r="M31" s="62"/>
      <c r="N31" s="62">
        <f t="shared" ref="N31:N33" si="17">AVERAGE(J31:L31)</f>
        <v>5.0120000000000005</v>
      </c>
      <c r="O31" s="8">
        <f t="shared" ref="O31:O33" si="18">STDEV(J31:L31)</f>
        <v>0.29865197136466459</v>
      </c>
      <c r="Q31" s="8">
        <f>N31-N30</f>
        <v>-1.1405000000000012</v>
      </c>
      <c r="S31" s="8">
        <f t="shared" ref="S31:S33" si="19">POWER(2,-Q31)</f>
        <v>2.2045741465462374</v>
      </c>
    </row>
    <row r="32" spans="1:19">
      <c r="A32" s="8" t="s">
        <v>170</v>
      </c>
      <c r="B32" s="8">
        <v>24.503</v>
      </c>
      <c r="C32" s="8">
        <v>24.405000000000001</v>
      </c>
      <c r="D32" s="8">
        <v>24.818999999999999</v>
      </c>
      <c r="E32" s="62"/>
      <c r="F32" s="8">
        <v>18.475000000000001</v>
      </c>
      <c r="G32" s="8">
        <v>18.236000000000001</v>
      </c>
      <c r="H32" s="8">
        <v>18.738</v>
      </c>
      <c r="I32" s="62"/>
      <c r="J32" s="62">
        <f t="shared" si="16"/>
        <v>6.0279999999999987</v>
      </c>
      <c r="K32" s="62">
        <f t="shared" si="16"/>
        <v>6.1690000000000005</v>
      </c>
      <c r="L32" s="62">
        <f t="shared" si="16"/>
        <v>6.0809999999999995</v>
      </c>
      <c r="M32" s="62"/>
      <c r="N32" s="62">
        <f t="shared" si="17"/>
        <v>6.0926666666666662</v>
      </c>
      <c r="O32" s="8">
        <f t="shared" si="18"/>
        <v>7.1220315453762631E-2</v>
      </c>
      <c r="Q32" s="8">
        <f>N32-N30</f>
        <v>-5.9833333333335403E-2</v>
      </c>
      <c r="S32" s="8">
        <f t="shared" si="19"/>
        <v>1.0423453374300262</v>
      </c>
    </row>
    <row r="33" spans="1:19">
      <c r="A33" s="62" t="s">
        <v>214</v>
      </c>
      <c r="B33" s="8">
        <v>24.491</v>
      </c>
      <c r="C33" s="8">
        <v>24.053000000000001</v>
      </c>
      <c r="D33" s="8">
        <v>24.193000000000001</v>
      </c>
      <c r="E33" s="62"/>
      <c r="F33" s="8">
        <v>17.637</v>
      </c>
      <c r="G33" s="8">
        <v>17.254000000000001</v>
      </c>
      <c r="H33" s="8">
        <v>17.843</v>
      </c>
      <c r="I33" s="62"/>
      <c r="J33" s="62">
        <f t="shared" si="16"/>
        <v>6.8539999999999992</v>
      </c>
      <c r="K33" s="62">
        <f t="shared" si="16"/>
        <v>6.7989999999999995</v>
      </c>
      <c r="L33" s="62">
        <f t="shared" si="16"/>
        <v>6.3500000000000014</v>
      </c>
      <c r="M33" s="62"/>
      <c r="N33" s="62">
        <f t="shared" si="17"/>
        <v>6.6676666666666664</v>
      </c>
      <c r="O33" s="8">
        <f t="shared" si="18"/>
        <v>0.27647845003423444</v>
      </c>
      <c r="Q33" s="8">
        <f>N33-N30</f>
        <v>0.51516666666666477</v>
      </c>
      <c r="S33" s="8">
        <f t="shared" si="19"/>
        <v>0.69971209421738423</v>
      </c>
    </row>
    <row r="34" spans="1:19">
      <c r="A34" s="62"/>
      <c r="B34" s="62"/>
      <c r="C34" s="62"/>
      <c r="D34" s="62"/>
      <c r="E34" s="62"/>
      <c r="F34" s="62"/>
      <c r="G34" s="63"/>
      <c r="H34" s="62"/>
      <c r="I34" s="62"/>
      <c r="J34" s="62"/>
      <c r="K34" s="62"/>
      <c r="L34" s="62"/>
      <c r="M34" s="62"/>
      <c r="N34" s="62"/>
    </row>
    <row r="35" spans="1:19">
      <c r="A35" s="8" t="s">
        <v>169</v>
      </c>
      <c r="B35" s="8">
        <v>23.408999999999999</v>
      </c>
      <c r="C35" s="8">
        <v>23.41</v>
      </c>
      <c r="D35" s="8">
        <v>23.11</v>
      </c>
      <c r="E35" s="62"/>
      <c r="F35" s="8">
        <v>17.738</v>
      </c>
      <c r="G35" s="8">
        <v>17.228999999999999</v>
      </c>
      <c r="H35" s="8">
        <v>17.628</v>
      </c>
      <c r="I35" s="62"/>
      <c r="J35" s="62">
        <f>B35-F35</f>
        <v>5.6709999999999994</v>
      </c>
      <c r="K35" s="62">
        <f>C35-G35</f>
        <v>6.1810000000000009</v>
      </c>
      <c r="L35" s="62">
        <f>D35-H35</f>
        <v>5.4819999999999993</v>
      </c>
      <c r="M35" s="62"/>
      <c r="N35" s="62">
        <f>AVERAGE(L35,J35)</f>
        <v>5.5764999999999993</v>
      </c>
      <c r="O35" s="8">
        <f>STDEV(J35,L35)</f>
        <v>0.13364318164425754</v>
      </c>
      <c r="Q35" s="8">
        <f>N35-N35</f>
        <v>0</v>
      </c>
      <c r="S35" s="8">
        <f>POWER(2,-Q35)</f>
        <v>1</v>
      </c>
    </row>
    <row r="36" spans="1:19">
      <c r="A36" s="8" t="s">
        <v>213</v>
      </c>
      <c r="B36" s="8">
        <v>23.911999999999999</v>
      </c>
      <c r="C36" s="8">
        <v>23.512</v>
      </c>
      <c r="D36" s="8">
        <v>23.013999999999999</v>
      </c>
      <c r="E36" s="62"/>
      <c r="F36" s="8">
        <v>18.637</v>
      </c>
      <c r="G36" s="8">
        <v>18.332000000000001</v>
      </c>
      <c r="H36" s="8">
        <v>18.719000000000001</v>
      </c>
      <c r="I36" s="62"/>
      <c r="J36" s="62">
        <f t="shared" ref="J36:L38" si="20">B36-F36</f>
        <v>5.2749999999999986</v>
      </c>
      <c r="K36" s="62">
        <f t="shared" si="20"/>
        <v>5.18</v>
      </c>
      <c r="L36" s="62">
        <f t="shared" si="20"/>
        <v>4.2949999999999982</v>
      </c>
      <c r="M36" s="62"/>
      <c r="N36" s="62">
        <f t="shared" ref="N36:N38" si="21">AVERAGE(J36:L36)</f>
        <v>4.9166666666666652</v>
      </c>
      <c r="O36" s="8">
        <f t="shared" ref="O36:O38" si="22">STDEV(J36:L36)</f>
        <v>0.54047047406249116</v>
      </c>
      <c r="Q36" s="8">
        <f>N36-N35</f>
        <v>-0.65983333333333416</v>
      </c>
      <c r="S36" s="8">
        <f t="shared" ref="S36:S38" si="23">POWER(2,-Q36)</f>
        <v>1.5799000959675602</v>
      </c>
    </row>
    <row r="37" spans="1:19">
      <c r="A37" s="8" t="s">
        <v>170</v>
      </c>
      <c r="B37" s="8">
        <v>23.41</v>
      </c>
      <c r="C37" s="8">
        <v>23.402999999999999</v>
      </c>
      <c r="D37" s="8">
        <v>23.728999999999999</v>
      </c>
      <c r="E37" s="62"/>
      <c r="F37" s="8">
        <v>17.274999999999999</v>
      </c>
      <c r="G37" s="8">
        <v>17.837</v>
      </c>
      <c r="H37" s="8">
        <v>17.385000000000002</v>
      </c>
      <c r="I37" s="62"/>
      <c r="J37" s="62">
        <f t="shared" si="20"/>
        <v>6.1350000000000016</v>
      </c>
      <c r="K37" s="62">
        <f t="shared" si="20"/>
        <v>5.5659999999999989</v>
      </c>
      <c r="L37" s="62">
        <f t="shared" si="20"/>
        <v>6.3439999999999976</v>
      </c>
      <c r="M37" s="62"/>
      <c r="N37" s="62">
        <f t="shared" si="21"/>
        <v>6.0149999999999997</v>
      </c>
      <c r="O37" s="8">
        <f t="shared" si="22"/>
        <v>0.40264252135113582</v>
      </c>
      <c r="Q37" s="8">
        <f>N37-N35</f>
        <v>0.43850000000000033</v>
      </c>
      <c r="S37" s="8">
        <f t="shared" si="23"/>
        <v>0.73790142137554726</v>
      </c>
    </row>
    <row r="38" spans="1:19">
      <c r="A38" s="62" t="s">
        <v>214</v>
      </c>
      <c r="B38" s="8">
        <v>23.948</v>
      </c>
      <c r="C38" s="8">
        <v>23.510999999999999</v>
      </c>
      <c r="D38" s="8">
        <v>23.594999999999999</v>
      </c>
      <c r="E38" s="62"/>
      <c r="F38" s="8">
        <v>18.853000000000002</v>
      </c>
      <c r="G38" s="8">
        <v>18.751999999999999</v>
      </c>
      <c r="H38" s="8">
        <v>18.873999999999999</v>
      </c>
      <c r="I38" s="62"/>
      <c r="J38" s="62">
        <f t="shared" si="20"/>
        <v>5.0949999999999989</v>
      </c>
      <c r="K38" s="62">
        <f t="shared" si="20"/>
        <v>4.7590000000000003</v>
      </c>
      <c r="L38" s="62">
        <f t="shared" si="20"/>
        <v>4.7210000000000001</v>
      </c>
      <c r="M38" s="62"/>
      <c r="N38" s="62">
        <f t="shared" si="21"/>
        <v>4.8583333333333334</v>
      </c>
      <c r="O38" s="8">
        <f t="shared" si="22"/>
        <v>0.20583812410079194</v>
      </c>
      <c r="Q38" s="8">
        <f>N38-N35</f>
        <v>-0.71816666666666595</v>
      </c>
      <c r="S38" s="8">
        <f t="shared" si="23"/>
        <v>1.6450901747171272</v>
      </c>
    </row>
    <row r="39" spans="1:19">
      <c r="D39" s="64"/>
      <c r="F39" s="64"/>
    </row>
    <row r="40" spans="1:19">
      <c r="A40" s="62"/>
      <c r="F40" s="64"/>
    </row>
    <row r="41" spans="1:19">
      <c r="A41" s="21" t="s">
        <v>200</v>
      </c>
    </row>
    <row r="42" spans="1:19">
      <c r="A42" s="8" t="s">
        <v>169</v>
      </c>
      <c r="B42" s="8">
        <v>23.059000000000001</v>
      </c>
      <c r="C42" s="8">
        <v>23.417999999999999</v>
      </c>
      <c r="D42" s="8">
        <v>23.542999999999999</v>
      </c>
      <c r="E42" s="62"/>
      <c r="F42" s="8">
        <v>18.387</v>
      </c>
      <c r="G42" s="8">
        <v>18.114000000000001</v>
      </c>
      <c r="H42" s="8">
        <v>18.736000000000001</v>
      </c>
      <c r="J42" s="8">
        <f>B42-F42</f>
        <v>4.6720000000000006</v>
      </c>
      <c r="K42" s="8">
        <f>C42-G42</f>
        <v>5.3039999999999985</v>
      </c>
      <c r="L42" s="8">
        <f>D42-H42</f>
        <v>4.8069999999999986</v>
      </c>
      <c r="N42" s="8">
        <f>AVERAGE(L42,J42)</f>
        <v>4.7394999999999996</v>
      </c>
      <c r="O42" s="8">
        <f>STDEV(J42,L42)</f>
        <v>9.5459415460182509E-2</v>
      </c>
      <c r="Q42" s="8">
        <f>N42-N42</f>
        <v>0</v>
      </c>
      <c r="S42" s="8">
        <f>POWER(2,-Q42)</f>
        <v>1</v>
      </c>
    </row>
    <row r="43" spans="1:19">
      <c r="A43" s="8" t="s">
        <v>213</v>
      </c>
      <c r="B43" s="8">
        <v>23.405000000000001</v>
      </c>
      <c r="C43" s="8">
        <v>23.204000000000001</v>
      </c>
      <c r="D43" s="8">
        <v>23.440999999999999</v>
      </c>
      <c r="E43" s="62"/>
      <c r="F43" s="8">
        <v>17.395</v>
      </c>
      <c r="G43" s="8">
        <v>17.283000000000001</v>
      </c>
      <c r="H43" s="8">
        <v>17.835000000000001</v>
      </c>
      <c r="J43" s="8">
        <f t="shared" ref="J43:L45" si="24">B43-F43</f>
        <v>6.0100000000000016</v>
      </c>
      <c r="K43" s="8">
        <f t="shared" si="24"/>
        <v>5.9209999999999994</v>
      </c>
      <c r="L43" s="8">
        <f t="shared" si="24"/>
        <v>5.6059999999999981</v>
      </c>
      <c r="N43" s="8">
        <f t="shared" ref="N43:N45" si="25">AVERAGE(J43:L43)</f>
        <v>5.8456666666666663</v>
      </c>
      <c r="O43" s="8">
        <f t="shared" ref="O43:O45" si="26">STDEV(J43:L43)</f>
        <v>0.21227419375264153</v>
      </c>
      <c r="Q43" s="8">
        <f>N43-N42</f>
        <v>1.1061666666666667</v>
      </c>
      <c r="S43" s="8">
        <f t="shared" ref="S43:S45" si="27">POWER(2,-Q43)</f>
        <v>0.46452666980032559</v>
      </c>
    </row>
    <row r="44" spans="1:19">
      <c r="A44" s="8" t="s">
        <v>170</v>
      </c>
      <c r="B44" s="8">
        <v>23.303999999999998</v>
      </c>
      <c r="C44" s="8">
        <v>23.31</v>
      </c>
      <c r="D44" s="8">
        <v>23.884</v>
      </c>
      <c r="E44" s="62"/>
      <c r="F44" s="8">
        <v>17.114000000000001</v>
      </c>
      <c r="G44" s="8">
        <v>17.483000000000001</v>
      </c>
      <c r="H44" s="8">
        <v>17.253</v>
      </c>
      <c r="J44" s="8">
        <f t="shared" si="24"/>
        <v>6.1899999999999977</v>
      </c>
      <c r="K44" s="8">
        <f t="shared" si="24"/>
        <v>5.8269999999999982</v>
      </c>
      <c r="L44" s="8">
        <f t="shared" si="24"/>
        <v>6.6310000000000002</v>
      </c>
      <c r="N44" s="8">
        <f t="shared" si="25"/>
        <v>6.2159999999999984</v>
      </c>
      <c r="O44" s="8">
        <f t="shared" si="26"/>
        <v>0.40263010319647097</v>
      </c>
      <c r="Q44" s="8">
        <f>N44-N42</f>
        <v>1.4764999999999988</v>
      </c>
      <c r="S44" s="8">
        <f t="shared" si="27"/>
        <v>0.35935956709195421</v>
      </c>
    </row>
    <row r="45" spans="1:19">
      <c r="A45" s="62" t="s">
        <v>214</v>
      </c>
      <c r="B45" s="8">
        <v>24.498999999999999</v>
      </c>
      <c r="C45" s="8">
        <v>24.893999999999998</v>
      </c>
      <c r="D45" s="8">
        <v>24.792999999999999</v>
      </c>
      <c r="E45" s="62"/>
      <c r="F45" s="8">
        <v>17.178000000000001</v>
      </c>
      <c r="G45" s="8">
        <v>17.347000000000001</v>
      </c>
      <c r="H45" s="8">
        <v>17.274000000000001</v>
      </c>
      <c r="J45" s="8">
        <f t="shared" si="24"/>
        <v>7.320999999999998</v>
      </c>
      <c r="K45" s="8">
        <f t="shared" si="24"/>
        <v>7.546999999999997</v>
      </c>
      <c r="L45" s="8">
        <f t="shared" si="24"/>
        <v>7.5189999999999984</v>
      </c>
      <c r="N45" s="8">
        <f t="shared" si="25"/>
        <v>7.4623333333333308</v>
      </c>
      <c r="O45" s="8">
        <f t="shared" si="26"/>
        <v>0.12319632029136779</v>
      </c>
      <c r="Q45" s="8">
        <f>N45-N42</f>
        <v>2.7228333333333312</v>
      </c>
      <c r="S45" s="8">
        <f t="shared" si="27"/>
        <v>0.15147658080384011</v>
      </c>
    </row>
    <row r="48" spans="1:19">
      <c r="A48" s="8" t="s">
        <v>169</v>
      </c>
      <c r="B48" s="8">
        <v>23.495000000000001</v>
      </c>
      <c r="C48" s="8">
        <v>23.402999999999999</v>
      </c>
      <c r="D48" s="8">
        <v>23.891999999999999</v>
      </c>
      <c r="E48" s="62"/>
      <c r="F48" s="8">
        <v>18.327999999999999</v>
      </c>
      <c r="G48" s="8">
        <v>18.937999999999999</v>
      </c>
      <c r="H48" s="8">
        <v>18.143000000000001</v>
      </c>
      <c r="I48" s="62"/>
      <c r="J48" s="62">
        <f>B48-F48</f>
        <v>5.1670000000000016</v>
      </c>
      <c r="K48" s="62">
        <f>C48-G48</f>
        <v>4.4649999999999999</v>
      </c>
      <c r="L48" s="62">
        <f>D48-H48</f>
        <v>5.7489999999999988</v>
      </c>
      <c r="M48" s="62"/>
      <c r="N48" s="62">
        <f>AVERAGE(L48,J48)</f>
        <v>5.4580000000000002</v>
      </c>
      <c r="O48" s="8">
        <f>STDEV(J48,L48)</f>
        <v>0.4115361466505687</v>
      </c>
      <c r="Q48" s="8">
        <f>N48-N48</f>
        <v>0</v>
      </c>
      <c r="S48" s="8">
        <f>POWER(2,-Q48)</f>
        <v>1</v>
      </c>
    </row>
    <row r="49" spans="1:19">
      <c r="A49" s="8" t="s">
        <v>213</v>
      </c>
      <c r="B49" s="8">
        <v>23.731999999999999</v>
      </c>
      <c r="C49" s="8">
        <v>23.510999999999999</v>
      </c>
      <c r="D49" s="8">
        <v>23.905000000000001</v>
      </c>
      <c r="E49" s="62"/>
      <c r="F49" s="8">
        <v>17.123000000000001</v>
      </c>
      <c r="G49" s="8">
        <v>17.492000000000001</v>
      </c>
      <c r="H49" s="8">
        <v>17.222000000000001</v>
      </c>
      <c r="I49" s="62"/>
      <c r="J49" s="62">
        <f t="shared" ref="J49:L51" si="28">B49-F49</f>
        <v>6.6089999999999982</v>
      </c>
      <c r="K49" s="62">
        <f t="shared" si="28"/>
        <v>6.0189999999999984</v>
      </c>
      <c r="L49" s="62">
        <f t="shared" si="28"/>
        <v>6.6829999999999998</v>
      </c>
      <c r="M49" s="62"/>
      <c r="N49" s="62">
        <f t="shared" ref="N49:N51" si="29">AVERAGE(J49:L49)</f>
        <v>6.4369999999999985</v>
      </c>
      <c r="O49" s="8">
        <f t="shared" ref="O49:O51" si="30">STDEV(J49:L49)</f>
        <v>0.36388459709089133</v>
      </c>
      <c r="Q49" s="8">
        <f>N49-N48</f>
        <v>0.97899999999999832</v>
      </c>
      <c r="S49" s="8">
        <f t="shared" ref="S49:S51" si="31">POWER(2,-Q49)</f>
        <v>0.5073312732904407</v>
      </c>
    </row>
    <row r="50" spans="1:19">
      <c r="A50" s="8" t="s">
        <v>170</v>
      </c>
      <c r="B50" s="8">
        <v>23.905000000000001</v>
      </c>
      <c r="C50" s="8">
        <v>23.405000000000001</v>
      </c>
      <c r="D50" s="8">
        <v>23.794</v>
      </c>
      <c r="E50" s="62"/>
      <c r="F50" s="8">
        <v>17.285</v>
      </c>
      <c r="G50" s="8">
        <v>17.295000000000002</v>
      </c>
      <c r="H50" s="8">
        <v>17.734999999999999</v>
      </c>
      <c r="I50" s="62"/>
      <c r="J50" s="62">
        <f t="shared" si="28"/>
        <v>6.620000000000001</v>
      </c>
      <c r="K50" s="62">
        <f t="shared" si="28"/>
        <v>6.1099999999999994</v>
      </c>
      <c r="L50" s="62">
        <f t="shared" si="28"/>
        <v>6.0590000000000011</v>
      </c>
      <c r="M50" s="62"/>
      <c r="N50" s="62">
        <f t="shared" si="29"/>
        <v>6.2630000000000008</v>
      </c>
      <c r="O50" s="8">
        <f t="shared" si="30"/>
        <v>0.31022088904520956</v>
      </c>
      <c r="Q50" s="8">
        <f>N50-N48</f>
        <v>0.8050000000000006</v>
      </c>
      <c r="S50" s="8">
        <f t="shared" si="31"/>
        <v>0.5723620802993421</v>
      </c>
    </row>
    <row r="51" spans="1:19">
      <c r="A51" s="62" t="s">
        <v>214</v>
      </c>
      <c r="B51" s="8">
        <v>24.305</v>
      </c>
      <c r="C51" s="8">
        <v>24.31</v>
      </c>
      <c r="D51" s="8">
        <v>24.809000000000001</v>
      </c>
      <c r="E51" s="62"/>
      <c r="F51" s="8">
        <v>17.395</v>
      </c>
      <c r="G51" s="8">
        <v>17.175999999999998</v>
      </c>
      <c r="H51" s="8">
        <v>17.353999999999999</v>
      </c>
      <c r="I51" s="62"/>
      <c r="J51" s="62">
        <f t="shared" si="28"/>
        <v>6.91</v>
      </c>
      <c r="K51" s="62">
        <f t="shared" si="28"/>
        <v>7.1340000000000003</v>
      </c>
      <c r="L51" s="62">
        <f t="shared" si="28"/>
        <v>7.4550000000000018</v>
      </c>
      <c r="M51" s="62"/>
      <c r="N51" s="62">
        <f t="shared" si="29"/>
        <v>7.1663333333333341</v>
      </c>
      <c r="O51" s="8">
        <f t="shared" si="30"/>
        <v>0.27393490710994434</v>
      </c>
      <c r="Q51" s="8">
        <f>N51-N48</f>
        <v>1.7083333333333339</v>
      </c>
      <c r="S51" s="8">
        <f t="shared" si="31"/>
        <v>0.30601338582616372</v>
      </c>
    </row>
    <row r="52" spans="1:19">
      <c r="A52" s="62"/>
      <c r="B52" s="62"/>
      <c r="C52" s="62"/>
      <c r="D52" s="62"/>
      <c r="E52" s="62"/>
      <c r="F52" s="62"/>
      <c r="G52" s="63"/>
      <c r="H52" s="62"/>
      <c r="I52" s="62"/>
      <c r="J52" s="62"/>
      <c r="K52" s="62"/>
      <c r="L52" s="62"/>
      <c r="M52" s="62"/>
      <c r="N52" s="62"/>
    </row>
    <row r="53" spans="1:19">
      <c r="A53" s="8" t="s">
        <v>169</v>
      </c>
      <c r="B53" s="8">
        <v>23.940999999999999</v>
      </c>
      <c r="C53" s="8">
        <v>23.440999999999999</v>
      </c>
      <c r="D53" s="8">
        <v>23.748000000000001</v>
      </c>
      <c r="E53" s="62"/>
      <c r="F53" s="8">
        <v>19.384</v>
      </c>
      <c r="G53" s="8">
        <v>19.277999999999999</v>
      </c>
      <c r="H53" s="8">
        <v>19.388000000000002</v>
      </c>
      <c r="I53" s="62"/>
      <c r="J53" s="62">
        <f>B53-F53</f>
        <v>4.5569999999999986</v>
      </c>
      <c r="K53" s="62">
        <f>C53-G53</f>
        <v>4.1630000000000003</v>
      </c>
      <c r="L53" s="62">
        <f>D53-H53</f>
        <v>4.3599999999999994</v>
      </c>
      <c r="M53" s="62"/>
      <c r="N53" s="62">
        <f>AVERAGE(L53,J53)</f>
        <v>4.458499999999999</v>
      </c>
      <c r="O53" s="8">
        <f>STDEV(J53,L53)</f>
        <v>0.13930003589374929</v>
      </c>
      <c r="Q53" s="8">
        <f>N53-N53</f>
        <v>0</v>
      </c>
      <c r="S53" s="8">
        <f>POWER(2,-Q53)</f>
        <v>1</v>
      </c>
    </row>
    <row r="54" spans="1:19">
      <c r="A54" s="8" t="s">
        <v>213</v>
      </c>
      <c r="B54" s="8">
        <v>23.419</v>
      </c>
      <c r="C54" s="8">
        <v>23.484999999999999</v>
      </c>
      <c r="D54" s="8">
        <v>23.518999999999998</v>
      </c>
      <c r="E54" s="62"/>
      <c r="F54" s="8">
        <v>17.632999999999999</v>
      </c>
      <c r="G54" s="8">
        <v>17.835000000000001</v>
      </c>
      <c r="H54" s="8">
        <v>17.263999999999999</v>
      </c>
      <c r="I54" s="62"/>
      <c r="J54" s="62">
        <f t="shared" ref="J54:L56" si="32">B54-F54</f>
        <v>5.7860000000000014</v>
      </c>
      <c r="K54" s="62">
        <f t="shared" si="32"/>
        <v>5.6499999999999986</v>
      </c>
      <c r="L54" s="62">
        <f t="shared" si="32"/>
        <v>6.254999999999999</v>
      </c>
      <c r="M54" s="62"/>
      <c r="N54" s="62">
        <f t="shared" ref="N54:N56" si="33">AVERAGE(J54:L54)</f>
        <v>5.8969999999999994</v>
      </c>
      <c r="O54" s="8">
        <f t="shared" ref="O54:O56" si="34">STDEV(J54:L54)</f>
        <v>0.31740667919878407</v>
      </c>
      <c r="Q54" s="8">
        <f>N54-N53</f>
        <v>1.4385000000000003</v>
      </c>
      <c r="S54" s="8">
        <f t="shared" ref="S54:S56" si="35">POWER(2,-Q54)</f>
        <v>0.36895071068777363</v>
      </c>
    </row>
    <row r="55" spans="1:19">
      <c r="A55" s="8" t="s">
        <v>170</v>
      </c>
      <c r="B55" s="8">
        <v>23.823</v>
      </c>
      <c r="C55" s="8">
        <v>23.103000000000002</v>
      </c>
      <c r="D55" s="8">
        <v>23.481999999999999</v>
      </c>
      <c r="E55" s="62"/>
      <c r="F55" s="8">
        <v>17.347000000000001</v>
      </c>
      <c r="G55" s="8">
        <v>17.241</v>
      </c>
      <c r="H55" s="8">
        <v>17.731000000000002</v>
      </c>
      <c r="I55" s="62"/>
      <c r="J55" s="62">
        <f t="shared" si="32"/>
        <v>6.4759999999999991</v>
      </c>
      <c r="K55" s="62">
        <f t="shared" si="32"/>
        <v>5.8620000000000019</v>
      </c>
      <c r="L55" s="62">
        <f t="shared" si="32"/>
        <v>5.7509999999999977</v>
      </c>
      <c r="M55" s="62"/>
      <c r="N55" s="62">
        <f t="shared" si="33"/>
        <v>6.0296666666666665</v>
      </c>
      <c r="O55" s="8">
        <f t="shared" si="34"/>
        <v>0.39050010670079627</v>
      </c>
      <c r="Q55" s="8">
        <f>N55-N53</f>
        <v>1.5711666666666675</v>
      </c>
      <c r="S55" s="8">
        <f t="shared" si="35"/>
        <v>0.33653613689434309</v>
      </c>
    </row>
    <row r="56" spans="1:19">
      <c r="A56" s="62" t="s">
        <v>214</v>
      </c>
      <c r="B56" s="8">
        <v>24.991</v>
      </c>
      <c r="C56" s="8">
        <v>24.582999999999998</v>
      </c>
      <c r="D56" s="8">
        <v>24.738</v>
      </c>
      <c r="E56" s="62"/>
      <c r="F56" s="8">
        <v>17.225999999999999</v>
      </c>
      <c r="G56" s="8">
        <v>17.385000000000002</v>
      </c>
      <c r="H56" s="8">
        <v>17.844999999999999</v>
      </c>
      <c r="I56" s="62"/>
      <c r="J56" s="62">
        <f t="shared" si="32"/>
        <v>7.7650000000000006</v>
      </c>
      <c r="K56" s="62">
        <f t="shared" si="32"/>
        <v>7.1979999999999968</v>
      </c>
      <c r="L56" s="62">
        <f t="shared" si="32"/>
        <v>6.8930000000000007</v>
      </c>
      <c r="M56" s="62"/>
      <c r="N56" s="62">
        <f t="shared" si="33"/>
        <v>7.285333333333333</v>
      </c>
      <c r="O56" s="8">
        <f t="shared" si="34"/>
        <v>0.44251139345030838</v>
      </c>
      <c r="Q56" s="8">
        <f>N56-N53</f>
        <v>2.826833333333334</v>
      </c>
      <c r="S56" s="8">
        <f t="shared" si="35"/>
        <v>0.14094133275895587</v>
      </c>
    </row>
  </sheetData>
  <mergeCells count="2">
    <mergeCell ref="B4:D4"/>
    <mergeCell ref="F4:H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9"/>
  <sheetViews>
    <sheetView zoomScale="77" zoomScaleNormal="77" workbookViewId="0">
      <selection activeCell="A2" sqref="A2"/>
    </sheetView>
  </sheetViews>
  <sheetFormatPr defaultRowHeight="15"/>
  <cols>
    <col min="4" max="4" width="11.42578125" customWidth="1"/>
    <col min="9" max="9" width="12.42578125" customWidth="1"/>
  </cols>
  <sheetData>
    <row r="2" spans="1:9">
      <c r="A2" s="1" t="s">
        <v>781</v>
      </c>
    </row>
    <row r="3" spans="1:9" ht="15.75">
      <c r="D3" s="65" t="s">
        <v>727</v>
      </c>
      <c r="I3" s="65" t="s">
        <v>728</v>
      </c>
    </row>
    <row r="25" spans="4:9" ht="15.75">
      <c r="D25" s="65" t="s">
        <v>729</v>
      </c>
      <c r="I25" s="65" t="s">
        <v>728</v>
      </c>
    </row>
    <row r="49" spans="4:8" ht="15.75">
      <c r="D49" s="65" t="s">
        <v>730</v>
      </c>
      <c r="H49" s="65" t="s">
        <v>728</v>
      </c>
    </row>
  </sheetData>
  <pageMargins left="0.7" right="0.7" top="0.75" bottom="0.75" header="0.3" footer="0.3"/>
  <pageSetup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62"/>
  <sheetViews>
    <sheetView zoomScale="64" zoomScaleNormal="64" workbookViewId="0">
      <selection activeCell="A2" sqref="A2"/>
    </sheetView>
  </sheetViews>
  <sheetFormatPr defaultRowHeight="15"/>
  <cols>
    <col min="1" max="1" width="14.28515625" customWidth="1"/>
    <col min="2" max="2" width="11.140625" customWidth="1"/>
    <col min="27" max="27" width="10.7109375" customWidth="1"/>
  </cols>
  <sheetData>
    <row r="2" spans="1:30">
      <c r="A2" s="1" t="s">
        <v>782</v>
      </c>
    </row>
    <row r="4" spans="1:30" ht="15.75">
      <c r="B4" s="65" t="s">
        <v>217</v>
      </c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</row>
    <row r="5" spans="1:30" ht="15.75">
      <c r="A5" t="s">
        <v>713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</row>
    <row r="6" spans="1:30" ht="15.75">
      <c r="A6" s="41" t="s">
        <v>219</v>
      </c>
      <c r="B6" s="65"/>
      <c r="C6" s="180" t="s">
        <v>220</v>
      </c>
      <c r="D6" s="180"/>
      <c r="E6" s="180"/>
      <c r="F6" s="180" t="s">
        <v>220</v>
      </c>
      <c r="G6" s="180"/>
      <c r="H6" s="180"/>
      <c r="I6" s="180" t="s">
        <v>221</v>
      </c>
      <c r="J6" s="180"/>
      <c r="K6" s="180"/>
      <c r="L6" s="65" t="s">
        <v>221</v>
      </c>
      <c r="M6" s="65"/>
      <c r="N6" s="65"/>
      <c r="O6" s="180" t="s">
        <v>220</v>
      </c>
      <c r="P6" s="180"/>
      <c r="Q6" s="180"/>
      <c r="R6" s="180" t="s">
        <v>220</v>
      </c>
      <c r="S6" s="180"/>
      <c r="T6" s="180"/>
      <c r="U6" s="180" t="s">
        <v>221</v>
      </c>
      <c r="V6" s="180"/>
      <c r="W6" s="180"/>
      <c r="X6" s="180" t="s">
        <v>221</v>
      </c>
      <c r="Y6" s="180"/>
      <c r="Z6" s="180"/>
    </row>
    <row r="7" spans="1:30" ht="15.75">
      <c r="A7" s="41" t="s">
        <v>204</v>
      </c>
      <c r="B7" s="65"/>
      <c r="C7" s="180" t="s">
        <v>220</v>
      </c>
      <c r="D7" s="180"/>
      <c r="E7" s="180"/>
      <c r="F7" s="180" t="s">
        <v>220</v>
      </c>
      <c r="G7" s="180"/>
      <c r="H7" s="180"/>
      <c r="I7" s="180" t="s">
        <v>220</v>
      </c>
      <c r="J7" s="180"/>
      <c r="K7" s="180"/>
      <c r="L7" s="65" t="s">
        <v>220</v>
      </c>
      <c r="M7" s="65"/>
      <c r="N7" s="65"/>
      <c r="O7" s="180" t="s">
        <v>221</v>
      </c>
      <c r="P7" s="180"/>
      <c r="Q7" s="180"/>
      <c r="R7" s="180" t="s">
        <v>221</v>
      </c>
      <c r="S7" s="180"/>
      <c r="T7" s="180"/>
      <c r="U7" s="180" t="s">
        <v>221</v>
      </c>
      <c r="V7" s="180"/>
      <c r="W7" s="180"/>
      <c r="X7" s="180" t="s">
        <v>221</v>
      </c>
      <c r="Y7" s="180"/>
      <c r="Z7" s="180"/>
    </row>
    <row r="8" spans="1:30" ht="15.75">
      <c r="A8" s="41" t="s">
        <v>222</v>
      </c>
      <c r="C8" s="180" t="s">
        <v>220</v>
      </c>
      <c r="D8" s="180"/>
      <c r="E8" s="180"/>
      <c r="F8" s="171" t="s">
        <v>220</v>
      </c>
      <c r="G8" s="171"/>
      <c r="H8" s="171"/>
      <c r="I8" s="171" t="s">
        <v>220</v>
      </c>
      <c r="J8" s="171"/>
      <c r="K8" s="171"/>
      <c r="L8" t="s">
        <v>220</v>
      </c>
      <c r="O8" s="171" t="s">
        <v>220</v>
      </c>
      <c r="P8" s="171"/>
      <c r="Q8" s="171"/>
      <c r="R8" s="171" t="s">
        <v>220</v>
      </c>
      <c r="S8" s="171"/>
      <c r="T8" s="171"/>
      <c r="U8" s="171" t="s">
        <v>220</v>
      </c>
      <c r="V8" s="171"/>
      <c r="W8" s="171"/>
      <c r="X8" s="171" t="s">
        <v>221</v>
      </c>
      <c r="Y8" s="171"/>
      <c r="Z8" s="171"/>
    </row>
    <row r="9" spans="1:30" ht="15.75">
      <c r="A9" s="41"/>
      <c r="C9" s="169" t="s">
        <v>216</v>
      </c>
      <c r="D9" s="169"/>
      <c r="E9" s="169"/>
      <c r="F9" s="169" t="s">
        <v>200</v>
      </c>
      <c r="G9" s="169"/>
      <c r="H9" s="169"/>
      <c r="I9" s="169" t="s">
        <v>216</v>
      </c>
      <c r="J9" s="169"/>
      <c r="K9" s="169"/>
      <c r="L9" s="169" t="s">
        <v>200</v>
      </c>
      <c r="M9" s="169"/>
      <c r="N9" s="169"/>
      <c r="O9" s="169" t="s">
        <v>200</v>
      </c>
      <c r="P9" s="169"/>
      <c r="Q9" s="169"/>
      <c r="R9" s="169" t="s">
        <v>216</v>
      </c>
      <c r="S9" s="169"/>
      <c r="T9" s="169"/>
      <c r="U9" s="169" t="s">
        <v>200</v>
      </c>
      <c r="V9" s="169"/>
      <c r="W9" s="169"/>
      <c r="X9" s="169" t="s">
        <v>200</v>
      </c>
      <c r="Y9" s="169"/>
      <c r="Z9" s="169"/>
    </row>
    <row r="10" spans="1:30" ht="15.75">
      <c r="A10" s="41"/>
      <c r="B10" s="1" t="s">
        <v>707</v>
      </c>
      <c r="C10" s="1" t="s">
        <v>704</v>
      </c>
      <c r="D10" s="1" t="s">
        <v>705</v>
      </c>
      <c r="E10" s="1" t="s">
        <v>706</v>
      </c>
      <c r="F10" s="1" t="s">
        <v>704</v>
      </c>
      <c r="G10" s="1" t="s">
        <v>705</v>
      </c>
      <c r="H10" s="1" t="s">
        <v>706</v>
      </c>
      <c r="I10" s="1" t="s">
        <v>704</v>
      </c>
      <c r="J10" s="1" t="s">
        <v>705</v>
      </c>
      <c r="K10" s="1" t="s">
        <v>706</v>
      </c>
      <c r="L10" s="1" t="s">
        <v>704</v>
      </c>
      <c r="M10" s="1" t="s">
        <v>705</v>
      </c>
      <c r="N10" s="1" t="s">
        <v>706</v>
      </c>
      <c r="O10" s="1" t="s">
        <v>704</v>
      </c>
      <c r="P10" s="1" t="s">
        <v>705</v>
      </c>
      <c r="Q10" s="1" t="s">
        <v>706</v>
      </c>
      <c r="R10" s="1" t="s">
        <v>704</v>
      </c>
      <c r="S10" s="1" t="s">
        <v>705</v>
      </c>
      <c r="T10" s="1" t="s">
        <v>706</v>
      </c>
      <c r="U10" s="1" t="s">
        <v>704</v>
      </c>
      <c r="V10" s="1" t="s">
        <v>705</v>
      </c>
      <c r="W10" s="1" t="s">
        <v>706</v>
      </c>
      <c r="X10" s="1" t="s">
        <v>704</v>
      </c>
      <c r="Y10" s="1" t="s">
        <v>705</v>
      </c>
      <c r="Z10" s="1" t="s">
        <v>706</v>
      </c>
    </row>
    <row r="11" spans="1:30">
      <c r="B11" s="1" t="s">
        <v>708</v>
      </c>
      <c r="C11" s="144">
        <v>22334</v>
      </c>
      <c r="D11" s="145" t="s">
        <v>714</v>
      </c>
      <c r="E11" s="145">
        <v>100</v>
      </c>
      <c r="F11" s="144">
        <v>42059</v>
      </c>
      <c r="G11" s="145" t="s">
        <v>714</v>
      </c>
      <c r="H11" s="145">
        <v>100</v>
      </c>
      <c r="I11" s="144">
        <v>29779</v>
      </c>
      <c r="J11" s="145" t="s">
        <v>714</v>
      </c>
      <c r="K11" s="145">
        <v>100</v>
      </c>
      <c r="L11" s="144">
        <v>50172</v>
      </c>
      <c r="M11" s="145" t="s">
        <v>714</v>
      </c>
      <c r="N11" s="145">
        <v>100</v>
      </c>
      <c r="O11" s="144">
        <v>29149</v>
      </c>
      <c r="P11" s="145" t="s">
        <v>714</v>
      </c>
      <c r="Q11" s="145">
        <v>100</v>
      </c>
      <c r="R11" s="144">
        <v>22644</v>
      </c>
      <c r="S11" s="145" t="s">
        <v>714</v>
      </c>
      <c r="T11" s="145">
        <v>100</v>
      </c>
      <c r="U11" s="144">
        <v>37708</v>
      </c>
      <c r="V11" s="145" t="s">
        <v>714</v>
      </c>
      <c r="W11" s="145">
        <v>100</v>
      </c>
      <c r="X11" s="144">
        <v>34377</v>
      </c>
      <c r="Y11" s="145" t="s">
        <v>714</v>
      </c>
      <c r="Z11" s="145">
        <v>100</v>
      </c>
    </row>
    <row r="12" spans="1:30">
      <c r="B12" s="1" t="s">
        <v>709</v>
      </c>
      <c r="C12" s="144">
        <v>14580</v>
      </c>
      <c r="D12" s="145">
        <v>65.3</v>
      </c>
      <c r="E12" s="145">
        <v>65.3</v>
      </c>
      <c r="F12" s="144">
        <v>22390</v>
      </c>
      <c r="G12" s="145">
        <v>53.2</v>
      </c>
      <c r="H12" s="145">
        <v>53.2</v>
      </c>
      <c r="I12" s="144">
        <v>20841</v>
      </c>
      <c r="J12" s="145">
        <v>70</v>
      </c>
      <c r="K12" s="145">
        <v>70</v>
      </c>
      <c r="L12" s="144">
        <v>27845</v>
      </c>
      <c r="M12" s="145">
        <v>55.5</v>
      </c>
      <c r="N12" s="145">
        <v>55.5</v>
      </c>
      <c r="O12" s="144">
        <v>24519</v>
      </c>
      <c r="P12" s="145">
        <v>84.1</v>
      </c>
      <c r="Q12" s="145">
        <v>84.1</v>
      </c>
      <c r="R12" s="144">
        <v>20000</v>
      </c>
      <c r="S12" s="145">
        <v>88.3</v>
      </c>
      <c r="T12" s="145">
        <v>88.3</v>
      </c>
      <c r="U12" s="144">
        <v>19021</v>
      </c>
      <c r="V12" s="145">
        <v>50.4</v>
      </c>
      <c r="W12" s="145">
        <v>50.4</v>
      </c>
      <c r="X12" s="144">
        <v>30925</v>
      </c>
      <c r="Y12" s="145">
        <v>90</v>
      </c>
      <c r="Z12" s="145">
        <v>90</v>
      </c>
    </row>
    <row r="13" spans="1:30">
      <c r="B13" s="1" t="s">
        <v>710</v>
      </c>
      <c r="C13" s="144">
        <v>14196</v>
      </c>
      <c r="D13" s="145">
        <v>97.4</v>
      </c>
      <c r="E13" s="145">
        <v>63.6</v>
      </c>
      <c r="F13" s="144">
        <v>18924</v>
      </c>
      <c r="G13" s="145">
        <v>94.6</v>
      </c>
      <c r="H13" s="145">
        <v>45</v>
      </c>
      <c r="I13" s="144">
        <v>15408</v>
      </c>
      <c r="J13" s="145">
        <v>73.900000000000006</v>
      </c>
      <c r="K13" s="145">
        <v>51.7</v>
      </c>
      <c r="L13" s="144">
        <v>19995</v>
      </c>
      <c r="M13" s="145">
        <v>96.6</v>
      </c>
      <c r="N13" s="145">
        <v>39.9</v>
      </c>
      <c r="O13" s="144">
        <v>20000</v>
      </c>
      <c r="P13" s="145">
        <v>81.599999999999994</v>
      </c>
      <c r="Q13" s="145">
        <v>68.599999999999994</v>
      </c>
      <c r="R13" s="144">
        <v>16277</v>
      </c>
      <c r="S13" s="145">
        <v>81.400000000000006</v>
      </c>
      <c r="T13" s="145">
        <v>88.3</v>
      </c>
      <c r="U13" s="144">
        <v>16612</v>
      </c>
      <c r="V13" s="145">
        <v>91.4</v>
      </c>
      <c r="W13" s="145">
        <v>44.1</v>
      </c>
      <c r="X13" s="144">
        <v>29965</v>
      </c>
      <c r="Y13" s="145">
        <v>96.9</v>
      </c>
      <c r="Z13" s="145">
        <v>87.2</v>
      </c>
      <c r="AB13" s="169"/>
      <c r="AC13" s="169"/>
      <c r="AD13" s="169"/>
    </row>
    <row r="14" spans="1:30">
      <c r="B14" s="1" t="s">
        <v>712</v>
      </c>
      <c r="C14" s="144">
        <v>6871</v>
      </c>
      <c r="D14" s="145">
        <v>48.4</v>
      </c>
      <c r="E14" s="145">
        <v>30.8</v>
      </c>
      <c r="F14" s="145">
        <v>527</v>
      </c>
      <c r="G14" s="145">
        <v>2.8</v>
      </c>
      <c r="H14" s="145">
        <v>1.3</v>
      </c>
      <c r="I14" s="144">
        <v>5498</v>
      </c>
      <c r="J14" s="145">
        <v>35.700000000000003</v>
      </c>
      <c r="K14" s="145">
        <v>18.5</v>
      </c>
      <c r="L14" s="145">
        <v>294</v>
      </c>
      <c r="M14" s="145">
        <v>1.5</v>
      </c>
      <c r="N14" s="145">
        <v>0.6</v>
      </c>
      <c r="O14" s="144">
        <v>1467</v>
      </c>
      <c r="P14" s="145">
        <v>7.3</v>
      </c>
      <c r="Q14" s="145">
        <v>5</v>
      </c>
      <c r="R14" s="144">
        <v>5797</v>
      </c>
      <c r="S14" s="145">
        <v>35.6</v>
      </c>
      <c r="T14" s="145">
        <v>25.6</v>
      </c>
      <c r="U14" s="145">
        <v>123</v>
      </c>
      <c r="V14" s="145">
        <v>0.7</v>
      </c>
      <c r="W14" s="145">
        <v>0.3</v>
      </c>
      <c r="X14" s="144">
        <v>2368</v>
      </c>
      <c r="Y14" s="145">
        <v>7.9</v>
      </c>
      <c r="Z14" s="145">
        <v>6.9</v>
      </c>
    </row>
    <row r="15" spans="1:30">
      <c r="C15" s="38"/>
      <c r="D15" s="38"/>
      <c r="E15" s="38"/>
      <c r="F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</row>
    <row r="16" spans="1:30">
      <c r="C16" s="38"/>
      <c r="D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</row>
    <row r="17" spans="1:26">
      <c r="C17" s="38"/>
      <c r="D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</row>
    <row r="18" spans="1:26" ht="15.75">
      <c r="B18" s="65" t="s">
        <v>217</v>
      </c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</row>
    <row r="19" spans="1:26" ht="15.75">
      <c r="A19" t="s">
        <v>715</v>
      </c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</row>
    <row r="20" spans="1:26" ht="15.75">
      <c r="A20" s="41" t="s">
        <v>219</v>
      </c>
      <c r="B20" s="65"/>
      <c r="C20" s="180" t="s">
        <v>220</v>
      </c>
      <c r="D20" s="180"/>
      <c r="E20" s="180"/>
      <c r="F20" s="180" t="s">
        <v>220</v>
      </c>
      <c r="G20" s="180"/>
      <c r="H20" s="180"/>
      <c r="I20" s="180" t="s">
        <v>221</v>
      </c>
      <c r="J20" s="180"/>
      <c r="K20" s="180"/>
      <c r="L20" s="65" t="s">
        <v>221</v>
      </c>
      <c r="M20" s="65"/>
      <c r="N20" s="65"/>
      <c r="O20" s="180" t="s">
        <v>220</v>
      </c>
      <c r="P20" s="180"/>
      <c r="Q20" s="180"/>
      <c r="R20" s="180" t="s">
        <v>220</v>
      </c>
      <c r="S20" s="180"/>
      <c r="T20" s="180"/>
      <c r="U20" s="180" t="s">
        <v>221</v>
      </c>
      <c r="V20" s="180"/>
      <c r="W20" s="180"/>
      <c r="X20" s="180" t="s">
        <v>221</v>
      </c>
      <c r="Y20" s="180"/>
      <c r="Z20" s="180"/>
    </row>
    <row r="21" spans="1:26" ht="15.75">
      <c r="A21" s="41" t="s">
        <v>204</v>
      </c>
      <c r="B21" s="65"/>
      <c r="C21" s="180" t="s">
        <v>220</v>
      </c>
      <c r="D21" s="180"/>
      <c r="E21" s="180"/>
      <c r="F21" s="180" t="s">
        <v>220</v>
      </c>
      <c r="G21" s="180"/>
      <c r="H21" s="180"/>
      <c r="I21" s="180" t="s">
        <v>220</v>
      </c>
      <c r="J21" s="180"/>
      <c r="K21" s="180"/>
      <c r="L21" s="65" t="s">
        <v>220</v>
      </c>
      <c r="M21" s="65"/>
      <c r="N21" s="65"/>
      <c r="O21" s="180" t="s">
        <v>221</v>
      </c>
      <c r="P21" s="180"/>
      <c r="Q21" s="180"/>
      <c r="R21" s="180" t="s">
        <v>221</v>
      </c>
      <c r="S21" s="180"/>
      <c r="T21" s="180"/>
      <c r="U21" s="180" t="s">
        <v>221</v>
      </c>
      <c r="V21" s="180"/>
      <c r="W21" s="180"/>
      <c r="X21" s="180" t="s">
        <v>221</v>
      </c>
      <c r="Y21" s="180"/>
      <c r="Z21" s="180"/>
    </row>
    <row r="22" spans="1:26" ht="15.75">
      <c r="A22" s="41" t="s">
        <v>222</v>
      </c>
      <c r="C22" s="180" t="s">
        <v>220</v>
      </c>
      <c r="D22" s="180"/>
      <c r="E22" s="180"/>
      <c r="F22" s="171" t="s">
        <v>220</v>
      </c>
      <c r="G22" s="171"/>
      <c r="H22" s="171"/>
      <c r="I22" s="171" t="s">
        <v>220</v>
      </c>
      <c r="J22" s="171"/>
      <c r="K22" s="171"/>
      <c r="L22" t="s">
        <v>220</v>
      </c>
      <c r="O22" s="171" t="s">
        <v>220</v>
      </c>
      <c r="P22" s="171"/>
      <c r="Q22" s="171"/>
      <c r="R22" s="171" t="s">
        <v>220</v>
      </c>
      <c r="S22" s="171"/>
      <c r="T22" s="171"/>
      <c r="U22" s="171" t="s">
        <v>220</v>
      </c>
      <c r="V22" s="171"/>
      <c r="W22" s="171"/>
      <c r="X22" s="171" t="s">
        <v>221</v>
      </c>
      <c r="Y22" s="171"/>
      <c r="Z22" s="171"/>
    </row>
    <row r="23" spans="1:26" ht="15.75">
      <c r="A23" s="41"/>
      <c r="C23" s="169" t="s">
        <v>216</v>
      </c>
      <c r="D23" s="169"/>
      <c r="E23" s="169"/>
      <c r="F23" s="169" t="s">
        <v>200</v>
      </c>
      <c r="G23" s="169"/>
      <c r="H23" s="169"/>
      <c r="I23" s="169" t="s">
        <v>216</v>
      </c>
      <c r="J23" s="169"/>
      <c r="K23" s="169"/>
      <c r="L23" s="169" t="s">
        <v>200</v>
      </c>
      <c r="M23" s="169"/>
      <c r="N23" s="169"/>
      <c r="O23" s="169" t="s">
        <v>200</v>
      </c>
      <c r="P23" s="169"/>
      <c r="Q23" s="169"/>
      <c r="R23" s="169" t="s">
        <v>216</v>
      </c>
      <c r="S23" s="169"/>
      <c r="T23" s="169"/>
      <c r="U23" s="169" t="s">
        <v>200</v>
      </c>
      <c r="V23" s="169"/>
      <c r="W23" s="169"/>
      <c r="X23" s="169" t="s">
        <v>200</v>
      </c>
      <c r="Y23" s="169"/>
      <c r="Z23" s="169"/>
    </row>
    <row r="24" spans="1:26" ht="15.75">
      <c r="A24" s="41"/>
      <c r="B24" t="s">
        <v>707</v>
      </c>
      <c r="C24" t="s">
        <v>704</v>
      </c>
      <c r="D24" t="s">
        <v>705</v>
      </c>
      <c r="E24" t="s">
        <v>706</v>
      </c>
      <c r="F24" t="s">
        <v>704</v>
      </c>
      <c r="G24" t="s">
        <v>705</v>
      </c>
      <c r="H24" t="s">
        <v>706</v>
      </c>
      <c r="I24" t="s">
        <v>704</v>
      </c>
      <c r="J24" t="s">
        <v>705</v>
      </c>
      <c r="K24" t="s">
        <v>706</v>
      </c>
      <c r="L24" t="s">
        <v>704</v>
      </c>
      <c r="M24" t="s">
        <v>705</v>
      </c>
      <c r="N24" t="s">
        <v>706</v>
      </c>
      <c r="O24" t="s">
        <v>704</v>
      </c>
      <c r="P24" t="s">
        <v>705</v>
      </c>
      <c r="Q24" t="s">
        <v>706</v>
      </c>
      <c r="R24" t="s">
        <v>704</v>
      </c>
      <c r="S24" t="s">
        <v>705</v>
      </c>
      <c r="T24" t="s">
        <v>706</v>
      </c>
      <c r="U24" t="s">
        <v>704</v>
      </c>
      <c r="V24" t="s">
        <v>705</v>
      </c>
      <c r="W24" t="s">
        <v>706</v>
      </c>
      <c r="X24" t="s">
        <v>704</v>
      </c>
      <c r="Y24" t="s">
        <v>705</v>
      </c>
      <c r="Z24" t="s">
        <v>706</v>
      </c>
    </row>
    <row r="25" spans="1:26">
      <c r="B25" s="1" t="s">
        <v>708</v>
      </c>
      <c r="C25" s="144">
        <v>23575</v>
      </c>
      <c r="D25" s="145" t="s">
        <v>714</v>
      </c>
      <c r="E25" s="145">
        <v>100</v>
      </c>
      <c r="F25" s="145">
        <v>43.287999999999997</v>
      </c>
      <c r="G25" s="145" t="s">
        <v>714</v>
      </c>
      <c r="H25" s="145">
        <v>100</v>
      </c>
      <c r="I25" s="144">
        <v>32095</v>
      </c>
      <c r="J25" s="145" t="s">
        <v>714</v>
      </c>
      <c r="K25" s="145">
        <v>100</v>
      </c>
      <c r="L25" s="144">
        <v>52824</v>
      </c>
      <c r="M25" s="145" t="s">
        <v>714</v>
      </c>
      <c r="N25" s="145">
        <v>100</v>
      </c>
      <c r="O25" s="144">
        <v>26743</v>
      </c>
      <c r="P25" s="145" t="s">
        <v>714</v>
      </c>
      <c r="Q25" s="145">
        <v>100</v>
      </c>
      <c r="R25" s="144">
        <v>22736</v>
      </c>
      <c r="S25" s="145" t="s">
        <v>714</v>
      </c>
      <c r="T25" s="145">
        <v>100</v>
      </c>
      <c r="U25" s="144">
        <v>34565</v>
      </c>
      <c r="V25" s="145" t="s">
        <v>714</v>
      </c>
      <c r="W25" s="145">
        <v>100</v>
      </c>
      <c r="X25" s="144">
        <v>35581</v>
      </c>
      <c r="Y25" s="145" t="s">
        <v>714</v>
      </c>
      <c r="Z25" s="145">
        <v>100</v>
      </c>
    </row>
    <row r="26" spans="1:26">
      <c r="B26" s="1" t="s">
        <v>709</v>
      </c>
      <c r="C26" s="144">
        <v>14675</v>
      </c>
      <c r="D26" s="145">
        <v>62.2</v>
      </c>
      <c r="E26" s="145">
        <v>62.2</v>
      </c>
      <c r="F26" s="144">
        <v>22241</v>
      </c>
      <c r="G26" s="145">
        <v>51.4</v>
      </c>
      <c r="H26" s="145">
        <v>51.4</v>
      </c>
      <c r="I26" s="144">
        <v>23727</v>
      </c>
      <c r="J26" s="145">
        <v>73.900000000000006</v>
      </c>
      <c r="K26" s="145">
        <v>73.900000000000006</v>
      </c>
      <c r="L26" s="144">
        <v>28438</v>
      </c>
      <c r="M26" s="145">
        <v>53.8</v>
      </c>
      <c r="N26" s="145">
        <v>53.8</v>
      </c>
      <c r="O26" s="144">
        <v>22522</v>
      </c>
      <c r="P26" s="145">
        <v>84.2</v>
      </c>
      <c r="Q26" s="145">
        <v>84.2</v>
      </c>
      <c r="R26" s="144">
        <v>20000</v>
      </c>
      <c r="S26" s="145">
        <v>88</v>
      </c>
      <c r="T26" s="145">
        <v>88</v>
      </c>
      <c r="U26" s="144">
        <v>19324</v>
      </c>
      <c r="V26" s="145">
        <v>55.9</v>
      </c>
      <c r="W26" s="145">
        <v>55.9</v>
      </c>
      <c r="X26" s="144">
        <v>31284</v>
      </c>
      <c r="Y26" s="145">
        <v>87.9</v>
      </c>
      <c r="Z26" s="145">
        <v>87.9</v>
      </c>
    </row>
    <row r="27" spans="1:26">
      <c r="B27" s="1" t="s">
        <v>710</v>
      </c>
      <c r="C27" s="144">
        <v>14329</v>
      </c>
      <c r="D27" s="145">
        <v>97.6</v>
      </c>
      <c r="E27" s="145">
        <v>60.8</v>
      </c>
      <c r="F27" s="144">
        <v>18879</v>
      </c>
      <c r="G27" s="145">
        <v>94.4</v>
      </c>
      <c r="H27" s="145">
        <v>43.6</v>
      </c>
      <c r="I27" s="144">
        <v>18215</v>
      </c>
      <c r="J27" s="145">
        <v>76.8</v>
      </c>
      <c r="K27" s="145">
        <v>56.8</v>
      </c>
      <c r="L27" s="144">
        <v>19999</v>
      </c>
      <c r="M27" s="145">
        <v>93.6</v>
      </c>
      <c r="N27" s="145">
        <v>37.9</v>
      </c>
      <c r="O27" s="144">
        <v>20000</v>
      </c>
      <c r="P27" s="145">
        <v>88.8</v>
      </c>
      <c r="Q27" s="145">
        <v>74.8</v>
      </c>
      <c r="R27" s="144">
        <v>16022</v>
      </c>
      <c r="S27" s="145">
        <v>80.099999999999994</v>
      </c>
      <c r="T27" s="145">
        <v>70.5</v>
      </c>
      <c r="U27" s="144">
        <v>17177</v>
      </c>
      <c r="V27" s="145">
        <v>94.9</v>
      </c>
      <c r="W27" s="145">
        <v>49.7</v>
      </c>
      <c r="X27" s="144">
        <v>30000</v>
      </c>
      <c r="Y27" s="145">
        <v>95.9</v>
      </c>
      <c r="Z27" s="145">
        <v>84.3</v>
      </c>
    </row>
    <row r="28" spans="1:26">
      <c r="B28" s="1" t="s">
        <v>712</v>
      </c>
      <c r="C28" s="144">
        <v>6724</v>
      </c>
      <c r="D28" s="145">
        <v>46.9</v>
      </c>
      <c r="E28" s="145">
        <v>28.5</v>
      </c>
      <c r="F28" s="145">
        <v>449</v>
      </c>
      <c r="G28" s="145">
        <v>2.4</v>
      </c>
      <c r="H28" s="145">
        <v>1</v>
      </c>
      <c r="I28" s="144">
        <v>6810</v>
      </c>
      <c r="J28" s="145">
        <v>37.4</v>
      </c>
      <c r="K28" s="145">
        <v>21.2</v>
      </c>
      <c r="L28" s="145">
        <v>284</v>
      </c>
      <c r="M28" s="145">
        <v>1.4</v>
      </c>
      <c r="N28" s="145">
        <v>0.5</v>
      </c>
      <c r="O28" s="144">
        <v>1660</v>
      </c>
      <c r="P28" s="145">
        <v>8.3000000000000007</v>
      </c>
      <c r="Q28" s="145">
        <v>6.2</v>
      </c>
      <c r="R28" s="144">
        <v>5582</v>
      </c>
      <c r="S28" s="145">
        <v>34.799999999999997</v>
      </c>
      <c r="T28" s="145">
        <v>24.6</v>
      </c>
      <c r="U28" s="145">
        <v>160</v>
      </c>
      <c r="V28" s="145">
        <v>0.9</v>
      </c>
      <c r="W28" s="145">
        <v>0.5</v>
      </c>
      <c r="X28" s="144">
        <v>2501</v>
      </c>
      <c r="Y28" s="145">
        <v>8.3000000000000007</v>
      </c>
      <c r="Z28" s="145">
        <v>7</v>
      </c>
    </row>
    <row r="29" spans="1:26">
      <c r="C29" s="38"/>
      <c r="D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</row>
    <row r="30" spans="1:26">
      <c r="C30" s="38"/>
      <c r="D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</row>
    <row r="31" spans="1:26">
      <c r="C31" s="38"/>
      <c r="D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</row>
    <row r="32" spans="1:26" ht="15.75">
      <c r="B32" s="65" t="s">
        <v>217</v>
      </c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</row>
    <row r="33" spans="1:26" ht="15.75">
      <c r="A33" t="s">
        <v>716</v>
      </c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</row>
    <row r="34" spans="1:26" ht="15.75">
      <c r="A34" s="41" t="s">
        <v>219</v>
      </c>
      <c r="B34" s="65"/>
      <c r="C34" s="180" t="s">
        <v>220</v>
      </c>
      <c r="D34" s="180"/>
      <c r="E34" s="180"/>
      <c r="F34" s="180" t="s">
        <v>220</v>
      </c>
      <c r="G34" s="180"/>
      <c r="H34" s="180"/>
      <c r="I34" s="180" t="s">
        <v>221</v>
      </c>
      <c r="J34" s="180"/>
      <c r="K34" s="180"/>
      <c r="L34" s="65" t="s">
        <v>221</v>
      </c>
      <c r="M34" s="65"/>
      <c r="N34" s="65"/>
      <c r="O34" s="180" t="s">
        <v>220</v>
      </c>
      <c r="P34" s="180"/>
      <c r="Q34" s="180"/>
      <c r="R34" s="180" t="s">
        <v>220</v>
      </c>
      <c r="S34" s="180"/>
      <c r="T34" s="180"/>
      <c r="U34" s="180" t="s">
        <v>221</v>
      </c>
      <c r="V34" s="180"/>
      <c r="W34" s="180"/>
      <c r="X34" s="180" t="s">
        <v>221</v>
      </c>
      <c r="Y34" s="180"/>
      <c r="Z34" s="180"/>
    </row>
    <row r="35" spans="1:26" ht="15.75">
      <c r="A35" s="41" t="s">
        <v>204</v>
      </c>
      <c r="B35" s="65"/>
      <c r="C35" s="180" t="s">
        <v>220</v>
      </c>
      <c r="D35" s="180"/>
      <c r="E35" s="180"/>
      <c r="F35" s="180" t="s">
        <v>220</v>
      </c>
      <c r="G35" s="180"/>
      <c r="H35" s="180"/>
      <c r="I35" s="180" t="s">
        <v>220</v>
      </c>
      <c r="J35" s="180"/>
      <c r="K35" s="180"/>
      <c r="L35" s="65" t="s">
        <v>220</v>
      </c>
      <c r="M35" s="65"/>
      <c r="N35" s="65"/>
      <c r="O35" s="180" t="s">
        <v>221</v>
      </c>
      <c r="P35" s="180"/>
      <c r="Q35" s="180"/>
      <c r="R35" s="180" t="s">
        <v>221</v>
      </c>
      <c r="S35" s="180"/>
      <c r="T35" s="180"/>
      <c r="U35" s="180" t="s">
        <v>221</v>
      </c>
      <c r="V35" s="180"/>
      <c r="W35" s="180"/>
      <c r="X35" s="180" t="s">
        <v>221</v>
      </c>
      <c r="Y35" s="180"/>
      <c r="Z35" s="180"/>
    </row>
    <row r="36" spans="1:26" ht="15.75">
      <c r="A36" s="41" t="s">
        <v>222</v>
      </c>
      <c r="C36" s="180" t="s">
        <v>220</v>
      </c>
      <c r="D36" s="180"/>
      <c r="E36" s="180"/>
      <c r="F36" s="171" t="s">
        <v>220</v>
      </c>
      <c r="G36" s="171"/>
      <c r="H36" s="171"/>
      <c r="I36" s="171" t="s">
        <v>220</v>
      </c>
      <c r="J36" s="171"/>
      <c r="K36" s="171"/>
      <c r="L36" t="s">
        <v>220</v>
      </c>
      <c r="O36" s="171" t="s">
        <v>220</v>
      </c>
      <c r="P36" s="171"/>
      <c r="Q36" s="171"/>
      <c r="R36" s="171" t="s">
        <v>220</v>
      </c>
      <c r="S36" s="171"/>
      <c r="T36" s="171"/>
      <c r="U36" s="171" t="s">
        <v>220</v>
      </c>
      <c r="V36" s="171"/>
      <c r="W36" s="171"/>
      <c r="X36" s="171" t="s">
        <v>221</v>
      </c>
      <c r="Y36" s="171"/>
      <c r="Z36" s="171"/>
    </row>
    <row r="37" spans="1:26" ht="15.75">
      <c r="A37" s="41"/>
      <c r="C37" s="169" t="s">
        <v>216</v>
      </c>
      <c r="D37" s="169"/>
      <c r="E37" s="169"/>
      <c r="F37" s="169" t="s">
        <v>200</v>
      </c>
      <c r="G37" s="169"/>
      <c r="H37" s="169"/>
      <c r="I37" s="169" t="s">
        <v>216</v>
      </c>
      <c r="J37" s="169"/>
      <c r="K37" s="169"/>
      <c r="L37" s="169" t="s">
        <v>200</v>
      </c>
      <c r="M37" s="169"/>
      <c r="N37" s="169"/>
      <c r="O37" s="169" t="s">
        <v>200</v>
      </c>
      <c r="P37" s="169"/>
      <c r="Q37" s="169"/>
      <c r="R37" s="169" t="s">
        <v>216</v>
      </c>
      <c r="S37" s="169"/>
      <c r="T37" s="169"/>
      <c r="U37" s="169" t="s">
        <v>200</v>
      </c>
      <c r="V37" s="169"/>
      <c r="W37" s="169"/>
      <c r="X37" s="169" t="s">
        <v>200</v>
      </c>
      <c r="Y37" s="169"/>
      <c r="Z37" s="169"/>
    </row>
    <row r="38" spans="1:26" ht="15.75">
      <c r="A38" s="41"/>
      <c r="B38" t="s">
        <v>707</v>
      </c>
      <c r="C38" t="s">
        <v>704</v>
      </c>
      <c r="D38" t="s">
        <v>705</v>
      </c>
      <c r="E38" t="s">
        <v>706</v>
      </c>
      <c r="F38" t="s">
        <v>704</v>
      </c>
      <c r="G38" t="s">
        <v>705</v>
      </c>
      <c r="H38" t="s">
        <v>706</v>
      </c>
      <c r="I38" t="s">
        <v>704</v>
      </c>
      <c r="J38" t="s">
        <v>705</v>
      </c>
      <c r="K38" t="s">
        <v>706</v>
      </c>
      <c r="L38" t="s">
        <v>704</v>
      </c>
      <c r="M38" t="s">
        <v>705</v>
      </c>
      <c r="N38" t="s">
        <v>706</v>
      </c>
      <c r="O38" t="s">
        <v>704</v>
      </c>
      <c r="P38" t="s">
        <v>705</v>
      </c>
      <c r="Q38" t="s">
        <v>706</v>
      </c>
      <c r="R38" t="s">
        <v>704</v>
      </c>
      <c r="S38" t="s">
        <v>705</v>
      </c>
      <c r="T38" t="s">
        <v>706</v>
      </c>
      <c r="U38" t="s">
        <v>704</v>
      </c>
      <c r="V38" t="s">
        <v>705</v>
      </c>
      <c r="W38" t="s">
        <v>706</v>
      </c>
      <c r="X38" t="s">
        <v>704</v>
      </c>
      <c r="Y38" t="s">
        <v>705</v>
      </c>
      <c r="Z38" t="s">
        <v>706</v>
      </c>
    </row>
    <row r="39" spans="1:26">
      <c r="B39" s="1" t="s">
        <v>708</v>
      </c>
      <c r="C39" s="144">
        <v>24594</v>
      </c>
      <c r="D39" s="145" t="s">
        <v>714</v>
      </c>
      <c r="E39" s="145">
        <v>100</v>
      </c>
      <c r="F39" s="144">
        <v>41694</v>
      </c>
      <c r="G39" s="145" t="s">
        <v>714</v>
      </c>
      <c r="H39" s="145">
        <v>100</v>
      </c>
      <c r="I39" s="144">
        <v>31111</v>
      </c>
      <c r="J39" s="145" t="s">
        <v>714</v>
      </c>
      <c r="K39" s="145">
        <v>100</v>
      </c>
      <c r="L39" s="144">
        <v>50293</v>
      </c>
      <c r="M39" s="145" t="s">
        <v>714</v>
      </c>
      <c r="N39" s="145">
        <v>100</v>
      </c>
      <c r="O39" s="144">
        <v>27462</v>
      </c>
      <c r="P39" s="145" t="s">
        <v>714</v>
      </c>
      <c r="Q39" s="145">
        <v>100</v>
      </c>
      <c r="R39" s="144">
        <v>22617</v>
      </c>
      <c r="S39" s="145" t="s">
        <v>714</v>
      </c>
      <c r="T39" s="145">
        <v>100</v>
      </c>
      <c r="U39" s="144">
        <v>38272</v>
      </c>
      <c r="V39" s="145" t="s">
        <v>714</v>
      </c>
      <c r="W39" s="145">
        <v>100</v>
      </c>
      <c r="X39" s="144">
        <v>36431</v>
      </c>
      <c r="Y39" s="145" t="s">
        <v>714</v>
      </c>
      <c r="Z39" s="145">
        <v>100</v>
      </c>
    </row>
    <row r="40" spans="1:26">
      <c r="B40" s="1" t="s">
        <v>709</v>
      </c>
      <c r="C40" s="144">
        <v>15713</v>
      </c>
      <c r="D40" s="145">
        <v>63.9</v>
      </c>
      <c r="E40" s="145">
        <v>63.9</v>
      </c>
      <c r="F40" s="144">
        <v>22172</v>
      </c>
      <c r="G40" s="145">
        <v>53.2</v>
      </c>
      <c r="H40" s="145">
        <v>53.2</v>
      </c>
      <c r="I40" s="144">
        <v>23486</v>
      </c>
      <c r="J40" s="145">
        <v>75.5</v>
      </c>
      <c r="K40" s="145">
        <v>75.5</v>
      </c>
      <c r="L40" s="144">
        <v>28385</v>
      </c>
      <c r="M40" s="145">
        <v>56.4</v>
      </c>
      <c r="N40" s="145">
        <v>56.4</v>
      </c>
      <c r="O40" s="144">
        <v>22782</v>
      </c>
      <c r="P40" s="145">
        <v>83</v>
      </c>
      <c r="Q40" s="145">
        <v>83</v>
      </c>
      <c r="R40" s="144">
        <v>20000</v>
      </c>
      <c r="S40" s="145">
        <v>88.4</v>
      </c>
      <c r="T40" s="145">
        <v>88.4</v>
      </c>
      <c r="U40" s="144">
        <v>19242</v>
      </c>
      <c r="V40" s="145">
        <v>50.3</v>
      </c>
      <c r="W40" s="145">
        <v>50.3</v>
      </c>
      <c r="X40" s="144">
        <v>31647</v>
      </c>
      <c r="Y40" s="145">
        <v>86.9</v>
      </c>
      <c r="Z40" s="145">
        <v>86.9</v>
      </c>
    </row>
    <row r="41" spans="1:26">
      <c r="B41" s="1" t="s">
        <v>710</v>
      </c>
      <c r="C41" s="144">
        <v>15232</v>
      </c>
      <c r="D41" s="145">
        <v>96.9</v>
      </c>
      <c r="E41" s="145">
        <v>61.9</v>
      </c>
      <c r="F41" s="144">
        <v>19044</v>
      </c>
      <c r="G41" s="145">
        <v>95.2</v>
      </c>
      <c r="H41" s="145">
        <v>45.7</v>
      </c>
      <c r="I41" s="144">
        <v>18524</v>
      </c>
      <c r="J41" s="145">
        <v>78.900000000000006</v>
      </c>
      <c r="K41" s="145">
        <v>59.5</v>
      </c>
      <c r="L41" s="144">
        <v>20000</v>
      </c>
      <c r="M41" s="145">
        <v>84.2</v>
      </c>
      <c r="N41" s="145">
        <v>39.9</v>
      </c>
      <c r="O41" s="144">
        <v>20000</v>
      </c>
      <c r="P41" s="145">
        <v>87.8</v>
      </c>
      <c r="Q41" s="145">
        <v>72.8</v>
      </c>
      <c r="R41" s="144">
        <v>16250</v>
      </c>
      <c r="S41" s="145">
        <v>81.2</v>
      </c>
      <c r="T41" s="145">
        <v>71.8</v>
      </c>
      <c r="U41" s="144">
        <v>16487</v>
      </c>
      <c r="V41" s="145">
        <v>90.9</v>
      </c>
      <c r="W41" s="145">
        <v>43.1</v>
      </c>
      <c r="X41" s="144">
        <v>30000</v>
      </c>
      <c r="Y41" s="145">
        <v>94.8</v>
      </c>
      <c r="Z41" s="145">
        <v>82.3</v>
      </c>
    </row>
    <row r="42" spans="1:26">
      <c r="B42" s="1" t="s">
        <v>712</v>
      </c>
      <c r="C42" s="144">
        <v>7401</v>
      </c>
      <c r="D42" s="145">
        <v>48.6</v>
      </c>
      <c r="E42" s="145">
        <v>30.1</v>
      </c>
      <c r="F42" s="145">
        <v>482</v>
      </c>
      <c r="G42" s="145">
        <v>2.5</v>
      </c>
      <c r="H42" s="145">
        <v>12</v>
      </c>
      <c r="I42" s="144">
        <v>7250</v>
      </c>
      <c r="J42" s="145">
        <v>39.1</v>
      </c>
      <c r="K42" s="145">
        <v>23.3</v>
      </c>
      <c r="L42" s="145">
        <v>297</v>
      </c>
      <c r="M42" s="145">
        <v>1.5</v>
      </c>
      <c r="N42" s="145">
        <v>0.6</v>
      </c>
      <c r="O42" s="144">
        <v>1692</v>
      </c>
      <c r="P42" s="145">
        <v>8.5</v>
      </c>
      <c r="Q42" s="145">
        <v>6.2</v>
      </c>
      <c r="R42" s="144">
        <v>5977</v>
      </c>
      <c r="S42" s="145">
        <v>36.799999999999997</v>
      </c>
      <c r="T42" s="145">
        <v>26.4</v>
      </c>
      <c r="U42" s="145">
        <v>121</v>
      </c>
      <c r="V42" s="145">
        <v>0.7</v>
      </c>
      <c r="W42" s="145">
        <v>0.3</v>
      </c>
      <c r="X42" s="144">
        <v>2258</v>
      </c>
      <c r="Y42" s="145">
        <v>7.5</v>
      </c>
      <c r="Z42" s="145">
        <v>6.2</v>
      </c>
    </row>
    <row r="43" spans="1:26">
      <c r="C43" s="38"/>
      <c r="D43" s="38"/>
      <c r="E43" s="1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</row>
    <row r="49" spans="26:31">
      <c r="Z49" s="1"/>
    </row>
    <row r="58" spans="26:31">
      <c r="AB58" t="s">
        <v>707</v>
      </c>
      <c r="AC58" t="s">
        <v>704</v>
      </c>
      <c r="AD58" t="s">
        <v>705</v>
      </c>
      <c r="AE58" t="s">
        <v>706</v>
      </c>
    </row>
    <row r="59" spans="26:31">
      <c r="AB59" s="1" t="s">
        <v>708</v>
      </c>
    </row>
    <row r="60" spans="26:31">
      <c r="AB60" s="1" t="s">
        <v>709</v>
      </c>
    </row>
    <row r="61" spans="26:31">
      <c r="AB61" s="1" t="s">
        <v>710</v>
      </c>
    </row>
    <row r="62" spans="26:31">
      <c r="AB62" s="1" t="s">
        <v>711</v>
      </c>
    </row>
  </sheetData>
  <mergeCells count="88">
    <mergeCell ref="AB13:AD13"/>
    <mergeCell ref="C6:E6"/>
    <mergeCell ref="C7:E7"/>
    <mergeCell ref="C8:E8"/>
    <mergeCell ref="F6:H6"/>
    <mergeCell ref="F7:H7"/>
    <mergeCell ref="F8:H8"/>
    <mergeCell ref="C9:E9"/>
    <mergeCell ref="F9:H9"/>
    <mergeCell ref="I6:K6"/>
    <mergeCell ref="U8:W8"/>
    <mergeCell ref="U9:W9"/>
    <mergeCell ref="I7:K7"/>
    <mergeCell ref="I8:K8"/>
    <mergeCell ref="I9:K9"/>
    <mergeCell ref="L9:N9"/>
    <mergeCell ref="O9:Q9"/>
    <mergeCell ref="X6:Z6"/>
    <mergeCell ref="X7:Z7"/>
    <mergeCell ref="X8:Z8"/>
    <mergeCell ref="X9:Z9"/>
    <mergeCell ref="O6:Q6"/>
    <mergeCell ref="O7:Q7"/>
    <mergeCell ref="O8:Q8"/>
    <mergeCell ref="R6:T6"/>
    <mergeCell ref="R7:T7"/>
    <mergeCell ref="R8:T8"/>
    <mergeCell ref="R9:T9"/>
    <mergeCell ref="U6:W6"/>
    <mergeCell ref="U7:W7"/>
    <mergeCell ref="X20:Z20"/>
    <mergeCell ref="C21:E21"/>
    <mergeCell ref="F21:H21"/>
    <mergeCell ref="I21:K21"/>
    <mergeCell ref="O21:Q21"/>
    <mergeCell ref="R21:T21"/>
    <mergeCell ref="U21:W21"/>
    <mergeCell ref="X21:Z21"/>
    <mergeCell ref="U20:W20"/>
    <mergeCell ref="C20:E20"/>
    <mergeCell ref="F20:H20"/>
    <mergeCell ref="I20:K20"/>
    <mergeCell ref="O20:Q20"/>
    <mergeCell ref="R20:T20"/>
    <mergeCell ref="X22:Z22"/>
    <mergeCell ref="C23:E23"/>
    <mergeCell ref="F23:H23"/>
    <mergeCell ref="I23:K23"/>
    <mergeCell ref="L23:N23"/>
    <mergeCell ref="O23:Q23"/>
    <mergeCell ref="R23:T23"/>
    <mergeCell ref="U23:W23"/>
    <mergeCell ref="X23:Z23"/>
    <mergeCell ref="C22:E22"/>
    <mergeCell ref="F22:H22"/>
    <mergeCell ref="I22:K22"/>
    <mergeCell ref="O22:Q22"/>
    <mergeCell ref="R22:T22"/>
    <mergeCell ref="U22:W22"/>
    <mergeCell ref="X34:Z34"/>
    <mergeCell ref="C35:E35"/>
    <mergeCell ref="F35:H35"/>
    <mergeCell ref="I35:K35"/>
    <mergeCell ref="O35:Q35"/>
    <mergeCell ref="R35:T35"/>
    <mergeCell ref="U35:W35"/>
    <mergeCell ref="X35:Z35"/>
    <mergeCell ref="C34:E34"/>
    <mergeCell ref="F34:H34"/>
    <mergeCell ref="I34:K34"/>
    <mergeCell ref="O34:Q34"/>
    <mergeCell ref="R34:T34"/>
    <mergeCell ref="U34:W34"/>
    <mergeCell ref="X36:Z36"/>
    <mergeCell ref="C37:E37"/>
    <mergeCell ref="F37:H37"/>
    <mergeCell ref="I37:K37"/>
    <mergeCell ref="L37:N37"/>
    <mergeCell ref="O37:Q37"/>
    <mergeCell ref="R37:T37"/>
    <mergeCell ref="U37:W37"/>
    <mergeCell ref="X37:Z37"/>
    <mergeCell ref="C36:E36"/>
    <mergeCell ref="F36:H36"/>
    <mergeCell ref="I36:K36"/>
    <mergeCell ref="O36:Q36"/>
    <mergeCell ref="R36:T36"/>
    <mergeCell ref="U36:W36"/>
  </mergeCells>
  <pageMargins left="0.7" right="0.7" top="0.75" bottom="0.75" header="0.3" footer="0.3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4"/>
  <sheetViews>
    <sheetView workbookViewId="0"/>
  </sheetViews>
  <sheetFormatPr defaultRowHeight="15"/>
  <cols>
    <col min="2" max="2" width="33" customWidth="1"/>
    <col min="3" max="7" width="9.140625" style="8"/>
  </cols>
  <sheetData>
    <row r="1" spans="1:22">
      <c r="A1" s="1" t="s">
        <v>783</v>
      </c>
    </row>
    <row r="3" spans="1:22">
      <c r="A3" s="1" t="s">
        <v>247</v>
      </c>
      <c r="C3" s="175" t="s">
        <v>223</v>
      </c>
      <c r="D3" s="175"/>
      <c r="E3" s="175"/>
      <c r="F3" s="21"/>
      <c r="G3" s="169" t="s">
        <v>224</v>
      </c>
      <c r="H3" s="169"/>
      <c r="I3" s="169"/>
      <c r="J3" s="1"/>
      <c r="K3" s="45" t="s">
        <v>191</v>
      </c>
      <c r="L3" s="1"/>
      <c r="M3" s="1"/>
      <c r="N3" s="1"/>
      <c r="O3" s="1" t="s">
        <v>225</v>
      </c>
      <c r="P3" s="1" t="s">
        <v>226</v>
      </c>
      <c r="Q3" s="1"/>
      <c r="R3" s="1" t="s">
        <v>227</v>
      </c>
      <c r="S3" s="1"/>
      <c r="T3" s="1" t="s">
        <v>228</v>
      </c>
      <c r="V3" s="1" t="s">
        <v>229</v>
      </c>
    </row>
    <row r="4" spans="1:22">
      <c r="A4">
        <v>1</v>
      </c>
      <c r="B4" s="66" t="s">
        <v>230</v>
      </c>
      <c r="C4" s="70" t="s">
        <v>231</v>
      </c>
      <c r="D4" s="70" t="s">
        <v>232</v>
      </c>
      <c r="E4" s="70" t="s">
        <v>233</v>
      </c>
      <c r="F4" s="70"/>
      <c r="G4" s="70" t="s">
        <v>234</v>
      </c>
      <c r="H4" s="66" t="s">
        <v>232</v>
      </c>
      <c r="I4" s="66" t="s">
        <v>233</v>
      </c>
      <c r="J4" s="67"/>
      <c r="K4" s="67"/>
      <c r="L4" s="67"/>
      <c r="M4" s="67"/>
    </row>
    <row r="5" spans="1:22">
      <c r="B5" s="67" t="s">
        <v>248</v>
      </c>
      <c r="C5" s="63">
        <v>29.943300000000001</v>
      </c>
      <c r="D5" s="63">
        <v>29.437999999999999</v>
      </c>
      <c r="E5" s="63">
        <v>29.15</v>
      </c>
      <c r="F5" s="62"/>
      <c r="G5" s="62">
        <v>24.198699999999999</v>
      </c>
      <c r="H5" s="69">
        <v>24.193999999999999</v>
      </c>
      <c r="I5" s="67">
        <v>24.542999999999999</v>
      </c>
      <c r="J5" s="67"/>
      <c r="K5" s="67">
        <f t="shared" ref="K5:M6" si="0">C5-G5</f>
        <v>5.7446000000000019</v>
      </c>
      <c r="L5" s="67">
        <f t="shared" si="0"/>
        <v>5.2439999999999998</v>
      </c>
      <c r="M5" s="67">
        <f t="shared" si="0"/>
        <v>4.6069999999999993</v>
      </c>
      <c r="O5">
        <f>AVERAGE(K5:M5)</f>
        <v>5.1985333333333337</v>
      </c>
      <c r="P5">
        <f>STDEV(K5:M5)</f>
        <v>0.57016125204483581</v>
      </c>
      <c r="R5">
        <f>O5-O5</f>
        <v>0</v>
      </c>
      <c r="T5">
        <f>POWER(2,-R5)</f>
        <v>1</v>
      </c>
      <c r="V5">
        <f>T5-1</f>
        <v>0</v>
      </c>
    </row>
    <row r="6" spans="1:22">
      <c r="B6" s="67" t="s">
        <v>249</v>
      </c>
      <c r="C6" s="62">
        <v>30.110399999999998</v>
      </c>
      <c r="D6" s="62">
        <v>30.726500000000001</v>
      </c>
      <c r="E6" s="63">
        <v>30.8323</v>
      </c>
      <c r="F6" s="62"/>
      <c r="G6" s="62">
        <v>24.4039</v>
      </c>
      <c r="H6" s="67">
        <v>24.518999999999998</v>
      </c>
      <c r="I6" s="68">
        <v>24.295000000000002</v>
      </c>
      <c r="J6" s="67"/>
      <c r="K6" s="67">
        <f t="shared" si="0"/>
        <v>5.7064999999999984</v>
      </c>
      <c r="L6" s="67">
        <f t="shared" si="0"/>
        <v>6.2075000000000031</v>
      </c>
      <c r="M6" s="67">
        <f t="shared" si="0"/>
        <v>6.5372999999999983</v>
      </c>
      <c r="O6">
        <f t="shared" ref="O6:O64" si="1">AVERAGE(K6:M6)</f>
        <v>6.150433333333333</v>
      </c>
      <c r="P6">
        <f>STDEV(K6:M6)</f>
        <v>0.41832955111172049</v>
      </c>
      <c r="R6">
        <f>O6-O5</f>
        <v>0.9518999999999993</v>
      </c>
      <c r="T6">
        <f t="shared" ref="T6" si="2">POWER(2,-R6)</f>
        <v>0.51695119920877919</v>
      </c>
      <c r="V6">
        <f t="shared" ref="V6:V64" si="3">T6-1</f>
        <v>-0.48304880079122081</v>
      </c>
    </row>
    <row r="7" spans="1:22">
      <c r="B7" s="67"/>
      <c r="C7" s="62"/>
      <c r="D7" s="62"/>
      <c r="E7" s="63"/>
      <c r="F7" s="62"/>
      <c r="G7" s="62"/>
      <c r="H7" s="67"/>
      <c r="I7" s="68"/>
      <c r="J7" s="67"/>
      <c r="K7" s="67"/>
      <c r="L7" s="67"/>
      <c r="M7" s="67"/>
    </row>
    <row r="8" spans="1:22">
      <c r="A8">
        <v>2</v>
      </c>
      <c r="B8" s="66" t="s">
        <v>236</v>
      </c>
      <c r="C8" s="70" t="s">
        <v>231</v>
      </c>
      <c r="D8" s="70" t="s">
        <v>232</v>
      </c>
      <c r="E8" s="70" t="s">
        <v>233</v>
      </c>
      <c r="F8" s="70"/>
      <c r="G8" s="70" t="s">
        <v>234</v>
      </c>
      <c r="H8" s="66" t="s">
        <v>232</v>
      </c>
      <c r="I8" s="66" t="s">
        <v>233</v>
      </c>
      <c r="J8" s="67"/>
      <c r="K8" s="67"/>
      <c r="L8" s="67"/>
      <c r="M8" s="67"/>
    </row>
    <row r="9" spans="1:22">
      <c r="B9" s="67" t="s">
        <v>248</v>
      </c>
      <c r="C9" s="63">
        <v>27.351800000000001</v>
      </c>
      <c r="D9" s="63">
        <v>27.629000000000001</v>
      </c>
      <c r="E9" s="63">
        <v>27.103999999999999</v>
      </c>
      <c r="F9" s="62"/>
      <c r="G9" s="62">
        <v>24.198699999999999</v>
      </c>
      <c r="H9" s="69">
        <v>24.193999999999999</v>
      </c>
      <c r="I9" s="67">
        <v>24.542999999999999</v>
      </c>
      <c r="J9" s="67"/>
      <c r="K9" s="67">
        <f t="shared" ref="K9:M10" si="4">C9-G9</f>
        <v>3.153100000000002</v>
      </c>
      <c r="L9" s="67">
        <f t="shared" si="4"/>
        <v>3.4350000000000023</v>
      </c>
      <c r="M9" s="67">
        <f t="shared" si="4"/>
        <v>2.5609999999999999</v>
      </c>
      <c r="O9">
        <f t="shared" si="1"/>
        <v>3.0497000000000014</v>
      </c>
      <c r="P9">
        <f t="shared" ref="P9:P64" si="5">STDEV(K9:M9)</f>
        <v>0.44608034029757782</v>
      </c>
      <c r="R9">
        <f>O9-O9</f>
        <v>0</v>
      </c>
      <c r="T9">
        <f>POWER(2,-R9)</f>
        <v>1</v>
      </c>
      <c r="V9">
        <f t="shared" si="3"/>
        <v>0</v>
      </c>
    </row>
    <row r="10" spans="1:22">
      <c r="B10" s="67" t="s">
        <v>249</v>
      </c>
      <c r="C10" s="62">
        <v>28.3856</v>
      </c>
      <c r="D10" s="62">
        <v>28.622</v>
      </c>
      <c r="E10" s="63">
        <v>28.393999999999998</v>
      </c>
      <c r="F10" s="62"/>
      <c r="G10" s="62">
        <v>24.4039</v>
      </c>
      <c r="H10" s="67">
        <v>24.518999999999998</v>
      </c>
      <c r="I10" s="68">
        <v>24.295000000000002</v>
      </c>
      <c r="J10" s="67"/>
      <c r="K10" s="67">
        <f t="shared" si="4"/>
        <v>3.9817</v>
      </c>
      <c r="L10" s="67">
        <f t="shared" si="4"/>
        <v>4.1030000000000015</v>
      </c>
      <c r="M10" s="67">
        <f t="shared" si="4"/>
        <v>4.0989999999999966</v>
      </c>
      <c r="O10">
        <f t="shared" si="1"/>
        <v>4.061233333333333</v>
      </c>
      <c r="P10">
        <f t="shared" si="5"/>
        <v>6.8906917891698435E-2</v>
      </c>
      <c r="R10">
        <f>O10-O9</f>
        <v>1.0115333333333316</v>
      </c>
      <c r="T10">
        <f t="shared" ref="T10" si="6">POWER(2,-R10)</f>
        <v>0.49601878596629417</v>
      </c>
      <c r="V10">
        <f t="shared" si="3"/>
        <v>-0.50398121403370588</v>
      </c>
    </row>
    <row r="11" spans="1:22">
      <c r="B11" s="67"/>
      <c r="C11" s="63"/>
      <c r="D11" s="63"/>
      <c r="E11" s="63"/>
      <c r="F11" s="62"/>
      <c r="G11" s="63"/>
      <c r="H11" s="68"/>
      <c r="I11" s="68"/>
      <c r="J11" s="67"/>
      <c r="K11" s="67"/>
      <c r="L11" s="67"/>
      <c r="M11" s="67"/>
    </row>
    <row r="12" spans="1:22">
      <c r="A12">
        <v>3</v>
      </c>
      <c r="B12" s="66" t="s">
        <v>237</v>
      </c>
      <c r="C12" s="70" t="s">
        <v>231</v>
      </c>
      <c r="D12" s="70" t="s">
        <v>232</v>
      </c>
      <c r="E12" s="70" t="s">
        <v>233</v>
      </c>
      <c r="F12" s="70"/>
      <c r="G12" s="70" t="s">
        <v>234</v>
      </c>
      <c r="H12" s="66" t="s">
        <v>232</v>
      </c>
      <c r="I12" s="66" t="s">
        <v>233</v>
      </c>
      <c r="J12" s="67"/>
      <c r="K12" s="67"/>
      <c r="L12" s="67"/>
      <c r="M12" s="67"/>
    </row>
    <row r="13" spans="1:22">
      <c r="B13" s="67" t="s">
        <v>248</v>
      </c>
      <c r="C13" s="63">
        <v>30.746300000000002</v>
      </c>
      <c r="D13" s="63">
        <v>30.173999999999999</v>
      </c>
      <c r="E13" s="63">
        <v>30.245000000000001</v>
      </c>
      <c r="F13" s="62"/>
      <c r="G13" s="62">
        <v>24.198699999999999</v>
      </c>
      <c r="H13" s="69">
        <v>24.193999999999999</v>
      </c>
      <c r="I13" s="67">
        <v>24.542999999999999</v>
      </c>
      <c r="J13" s="67"/>
      <c r="K13" s="67">
        <f t="shared" ref="K13:M14" si="7">C13-G13</f>
        <v>6.5476000000000028</v>
      </c>
      <c r="L13" s="67">
        <f t="shared" si="7"/>
        <v>5.98</v>
      </c>
      <c r="M13" s="67">
        <f t="shared" si="7"/>
        <v>5.7020000000000017</v>
      </c>
      <c r="O13">
        <f t="shared" si="1"/>
        <v>6.0765333333333347</v>
      </c>
      <c r="P13">
        <f t="shared" si="5"/>
        <v>0.43098590850900675</v>
      </c>
      <c r="R13">
        <f>O13-O13</f>
        <v>0</v>
      </c>
      <c r="T13">
        <f>POWER(2,-R13)</f>
        <v>1</v>
      </c>
      <c r="V13">
        <f t="shared" si="3"/>
        <v>0</v>
      </c>
    </row>
    <row r="14" spans="1:22">
      <c r="B14" s="67" t="s">
        <v>249</v>
      </c>
      <c r="C14" s="62">
        <v>38.111600000000003</v>
      </c>
      <c r="D14" s="62">
        <v>38.744999999999997</v>
      </c>
      <c r="E14" s="63">
        <v>38.624000000000002</v>
      </c>
      <c r="F14" s="62"/>
      <c r="G14" s="62">
        <v>24.4039</v>
      </c>
      <c r="H14" s="67">
        <v>24.518999999999998</v>
      </c>
      <c r="I14" s="68">
        <v>24.295000000000002</v>
      </c>
      <c r="J14" s="67"/>
      <c r="K14" s="67">
        <f t="shared" si="7"/>
        <v>13.707700000000003</v>
      </c>
      <c r="L14" s="67">
        <f t="shared" si="7"/>
        <v>14.225999999999999</v>
      </c>
      <c r="M14" s="67">
        <f t="shared" si="7"/>
        <v>14.329000000000001</v>
      </c>
      <c r="O14">
        <f t="shared" si="1"/>
        <v>14.087566666666667</v>
      </c>
      <c r="P14">
        <f t="shared" si="5"/>
        <v>0.33298087532669551</v>
      </c>
      <c r="R14">
        <f>O14-O13</f>
        <v>8.0110333333333337</v>
      </c>
      <c r="T14">
        <f t="shared" ref="T14" si="8">POWER(2,-R14)</f>
        <v>3.8764900216441307E-3</v>
      </c>
      <c r="V14">
        <f t="shared" si="3"/>
        <v>-0.99612350997835586</v>
      </c>
    </row>
    <row r="15" spans="1:22">
      <c r="B15" s="67"/>
      <c r="C15" s="62"/>
      <c r="D15" s="62"/>
      <c r="E15" s="63"/>
      <c r="F15" s="62"/>
      <c r="G15" s="62"/>
      <c r="H15" s="67"/>
      <c r="I15" s="68"/>
      <c r="J15" s="67"/>
      <c r="K15" s="67"/>
      <c r="L15" s="67"/>
      <c r="M15" s="67"/>
    </row>
    <row r="16" spans="1:22">
      <c r="B16" s="67"/>
      <c r="C16" s="62"/>
      <c r="D16" s="62"/>
      <c r="E16" s="63"/>
      <c r="F16" s="62"/>
      <c r="G16" s="62"/>
      <c r="H16" s="67"/>
      <c r="I16" s="68"/>
      <c r="J16" s="67"/>
      <c r="K16" s="67"/>
      <c r="L16" s="67"/>
      <c r="M16" s="67"/>
    </row>
    <row r="17" spans="1:22">
      <c r="A17">
        <v>4</v>
      </c>
      <c r="B17" s="66" t="s">
        <v>238</v>
      </c>
      <c r="C17" s="70" t="s">
        <v>231</v>
      </c>
      <c r="D17" s="70" t="s">
        <v>232</v>
      </c>
      <c r="E17" s="70" t="s">
        <v>233</v>
      </c>
      <c r="F17" s="70"/>
      <c r="G17" s="70" t="s">
        <v>234</v>
      </c>
      <c r="H17" s="66" t="s">
        <v>232</v>
      </c>
      <c r="I17" s="66" t="s">
        <v>233</v>
      </c>
      <c r="J17" s="67"/>
      <c r="K17" s="67"/>
      <c r="L17" s="67"/>
      <c r="M17" s="67"/>
    </row>
    <row r="18" spans="1:22">
      <c r="B18" s="67" t="s">
        <v>248</v>
      </c>
      <c r="C18" s="63">
        <v>28.2303</v>
      </c>
      <c r="D18" s="63">
        <v>28.731999999999999</v>
      </c>
      <c r="E18" s="63">
        <v>28.173999999999999</v>
      </c>
      <c r="F18" s="62"/>
      <c r="G18" s="62">
        <v>24.198699999999999</v>
      </c>
      <c r="H18" s="69">
        <v>24.193999999999999</v>
      </c>
      <c r="I18" s="67">
        <v>24.542999999999999</v>
      </c>
      <c r="J18" s="67"/>
      <c r="K18" s="67">
        <f t="shared" ref="K18:M19" si="9">C18-G18</f>
        <v>4.031600000000001</v>
      </c>
      <c r="L18" s="67">
        <f t="shared" si="9"/>
        <v>4.5380000000000003</v>
      </c>
      <c r="M18" s="67">
        <f t="shared" si="9"/>
        <v>3.6310000000000002</v>
      </c>
      <c r="O18">
        <f t="shared" si="1"/>
        <v>4.0668666666666669</v>
      </c>
      <c r="P18">
        <f t="shared" si="5"/>
        <v>0.45452728557627137</v>
      </c>
      <c r="R18">
        <f>O18-O18</f>
        <v>0</v>
      </c>
      <c r="T18">
        <f>POWER(2,-R18)</f>
        <v>1</v>
      </c>
      <c r="V18">
        <f t="shared" si="3"/>
        <v>0</v>
      </c>
    </row>
    <row r="19" spans="1:22">
      <c r="B19" s="67" t="s">
        <v>249</v>
      </c>
      <c r="C19" s="62">
        <v>29.585000000000001</v>
      </c>
      <c r="D19" s="62">
        <v>29.545999999999999</v>
      </c>
      <c r="E19" s="63">
        <v>29.846</v>
      </c>
      <c r="F19" s="62"/>
      <c r="G19" s="62">
        <v>24.4039</v>
      </c>
      <c r="H19" s="67">
        <v>24.518999999999998</v>
      </c>
      <c r="I19" s="68">
        <v>24.295000000000002</v>
      </c>
      <c r="J19" s="67"/>
      <c r="K19" s="67">
        <f t="shared" si="9"/>
        <v>5.1811000000000007</v>
      </c>
      <c r="L19" s="67">
        <f t="shared" si="9"/>
        <v>5.027000000000001</v>
      </c>
      <c r="M19" s="67">
        <f t="shared" si="9"/>
        <v>5.5509999999999984</v>
      </c>
      <c r="O19">
        <f t="shared" si="1"/>
        <v>5.2530333333333337</v>
      </c>
      <c r="P19">
        <f t="shared" si="5"/>
        <v>0.26930429505177328</v>
      </c>
      <c r="R19">
        <f>O19-O18</f>
        <v>1.1861666666666668</v>
      </c>
      <c r="T19">
        <f t="shared" ref="T19" si="10">POWER(2,-R19)</f>
        <v>0.43946900807257394</v>
      </c>
      <c r="V19">
        <f t="shared" si="3"/>
        <v>-0.56053099192742606</v>
      </c>
    </row>
    <row r="20" spans="1:22">
      <c r="B20" s="70"/>
      <c r="C20" s="62"/>
      <c r="D20" s="62"/>
      <c r="E20" s="62"/>
      <c r="F20" s="62"/>
      <c r="G20" s="62"/>
      <c r="H20" s="68"/>
      <c r="I20" s="68"/>
      <c r="J20" s="68"/>
      <c r="K20" s="67"/>
      <c r="L20" s="67"/>
      <c r="M20" s="67"/>
    </row>
    <row r="21" spans="1:22">
      <c r="B21" s="62"/>
      <c r="C21" s="63"/>
      <c r="D21" s="63"/>
      <c r="E21" s="63"/>
      <c r="F21" s="62"/>
      <c r="G21" s="62"/>
      <c r="H21" s="67"/>
      <c r="I21" s="67"/>
      <c r="J21" s="67"/>
      <c r="K21" s="67"/>
      <c r="L21" s="67"/>
      <c r="M21" s="67"/>
    </row>
    <row r="22" spans="1:22">
      <c r="A22">
        <v>5</v>
      </c>
      <c r="B22" s="66" t="s">
        <v>239</v>
      </c>
      <c r="C22" s="70" t="s">
        <v>231</v>
      </c>
      <c r="D22" s="70" t="s">
        <v>232</v>
      </c>
      <c r="E22" s="70" t="s">
        <v>233</v>
      </c>
      <c r="F22" s="70"/>
      <c r="G22" s="70" t="s">
        <v>234</v>
      </c>
      <c r="H22" s="66" t="s">
        <v>232</v>
      </c>
      <c r="I22" s="66" t="s">
        <v>233</v>
      </c>
      <c r="J22" s="67"/>
      <c r="K22" s="67"/>
      <c r="L22" s="67"/>
      <c r="M22" s="67"/>
    </row>
    <row r="23" spans="1:22">
      <c r="B23" s="67" t="s">
        <v>248</v>
      </c>
      <c r="C23" s="62">
        <v>38.837299999999999</v>
      </c>
      <c r="D23" s="62">
        <v>38.4831</v>
      </c>
      <c r="E23" s="63">
        <v>38.204000000000001</v>
      </c>
      <c r="F23" s="62"/>
      <c r="G23" s="62">
        <v>24.198699999999999</v>
      </c>
      <c r="H23" s="69">
        <v>24.193999999999999</v>
      </c>
      <c r="I23" s="67">
        <v>24.542999999999999</v>
      </c>
      <c r="J23" s="67"/>
      <c r="K23" s="67">
        <f t="shared" ref="K23:M24" si="11">C23-G23</f>
        <v>14.6386</v>
      </c>
      <c r="L23" s="67">
        <f t="shared" si="11"/>
        <v>14.289100000000001</v>
      </c>
      <c r="M23" s="67">
        <f t="shared" si="11"/>
        <v>13.661000000000001</v>
      </c>
      <c r="O23">
        <f t="shared" si="1"/>
        <v>14.196233333333334</v>
      </c>
      <c r="P23">
        <f t="shared" si="5"/>
        <v>0.49537218667718202</v>
      </c>
      <c r="R23">
        <f>O23-O23</f>
        <v>0</v>
      </c>
      <c r="T23">
        <f>POWER(2,-R23)</f>
        <v>1</v>
      </c>
      <c r="V23">
        <f t="shared" si="3"/>
        <v>0</v>
      </c>
    </row>
    <row r="24" spans="1:22">
      <c r="B24" s="67" t="s">
        <v>249</v>
      </c>
      <c r="C24" s="62">
        <v>34.673499999999997</v>
      </c>
      <c r="D24" s="62">
        <v>34.803899999999999</v>
      </c>
      <c r="E24" s="63">
        <v>34.4953</v>
      </c>
      <c r="F24" s="62"/>
      <c r="G24" s="62">
        <v>24.4039</v>
      </c>
      <c r="H24" s="67">
        <v>24.518999999999998</v>
      </c>
      <c r="I24" s="68">
        <v>24.295000000000002</v>
      </c>
      <c r="J24" s="67"/>
      <c r="K24" s="67">
        <f t="shared" si="11"/>
        <v>10.269599999999997</v>
      </c>
      <c r="L24" s="67">
        <f t="shared" si="11"/>
        <v>10.2849</v>
      </c>
      <c r="M24" s="67">
        <f t="shared" si="11"/>
        <v>10.200299999999999</v>
      </c>
      <c r="O24">
        <f t="shared" si="1"/>
        <v>10.251599999999998</v>
      </c>
      <c r="P24">
        <f t="shared" si="5"/>
        <v>4.5080927230925827E-2</v>
      </c>
      <c r="R24">
        <f>O24-O23</f>
        <v>-3.9446333333333357</v>
      </c>
      <c r="T24">
        <f t="shared" ref="T24" si="12">POWER(2,-R24)</f>
        <v>15.397597231881361</v>
      </c>
      <c r="V24">
        <f t="shared" si="3"/>
        <v>14.397597231881361</v>
      </c>
    </row>
    <row r="25" spans="1:22">
      <c r="B25" s="62"/>
      <c r="C25" s="63"/>
      <c r="D25" s="63"/>
      <c r="E25" s="63"/>
      <c r="F25" s="62"/>
      <c r="G25" s="62"/>
      <c r="H25" s="67"/>
      <c r="I25" s="67"/>
      <c r="J25" s="67"/>
      <c r="K25" s="67"/>
      <c r="L25" s="67"/>
      <c r="M25" s="67"/>
    </row>
    <row r="26" spans="1:22">
      <c r="B26" s="62"/>
      <c r="C26" s="62"/>
      <c r="D26" s="62"/>
      <c r="E26" s="63"/>
      <c r="F26" s="62"/>
      <c r="G26" s="62"/>
      <c r="H26" s="67"/>
      <c r="I26" s="68"/>
      <c r="J26" s="67"/>
      <c r="K26" s="67"/>
      <c r="L26" s="67"/>
      <c r="M26" s="67"/>
    </row>
    <row r="27" spans="1:22">
      <c r="A27">
        <v>6</v>
      </c>
      <c r="B27" s="66" t="s">
        <v>240</v>
      </c>
      <c r="C27" s="70" t="s">
        <v>231</v>
      </c>
      <c r="D27" s="70" t="s">
        <v>232</v>
      </c>
      <c r="E27" s="70" t="s">
        <v>233</v>
      </c>
      <c r="F27" s="70"/>
      <c r="G27" s="70" t="s">
        <v>234</v>
      </c>
      <c r="H27" s="66" t="s">
        <v>232</v>
      </c>
      <c r="I27" s="66" t="s">
        <v>233</v>
      </c>
      <c r="J27" s="67"/>
      <c r="K27" s="67"/>
      <c r="L27" s="67"/>
      <c r="M27" s="67"/>
    </row>
    <row r="28" spans="1:22">
      <c r="B28" s="67" t="s">
        <v>248</v>
      </c>
      <c r="C28" s="63">
        <v>36.235399999999998</v>
      </c>
      <c r="D28" s="63">
        <v>36.585999999999999</v>
      </c>
      <c r="E28" s="63">
        <v>36.228999999999999</v>
      </c>
      <c r="F28" s="62"/>
      <c r="G28" s="62">
        <v>24.198699999999999</v>
      </c>
      <c r="H28" s="69">
        <v>24.193999999999999</v>
      </c>
      <c r="I28" s="67">
        <v>24.542999999999999</v>
      </c>
      <c r="J28" s="67"/>
      <c r="K28" s="67">
        <f t="shared" ref="K28:M29" si="13">C28-G28</f>
        <v>12.0367</v>
      </c>
      <c r="L28" s="67">
        <f t="shared" si="13"/>
        <v>12.391999999999999</v>
      </c>
      <c r="M28" s="67">
        <f t="shared" si="13"/>
        <v>11.686</v>
      </c>
      <c r="O28">
        <f t="shared" si="1"/>
        <v>12.038233333333332</v>
      </c>
      <c r="P28">
        <f t="shared" si="5"/>
        <v>0.35300249763044617</v>
      </c>
      <c r="R28">
        <f>O28-O28</f>
        <v>0</v>
      </c>
      <c r="T28">
        <f>POWER(2,-R28)</f>
        <v>1</v>
      </c>
      <c r="V28">
        <f t="shared" si="3"/>
        <v>0</v>
      </c>
    </row>
    <row r="29" spans="1:22">
      <c r="B29" s="67" t="s">
        <v>249</v>
      </c>
      <c r="C29" s="62">
        <v>36.288600000000002</v>
      </c>
      <c r="D29" s="62">
        <v>36.347000000000001</v>
      </c>
      <c r="E29" s="63">
        <v>36.293999999999997</v>
      </c>
      <c r="F29" s="62"/>
      <c r="G29" s="62">
        <v>24.4039</v>
      </c>
      <c r="H29" s="67">
        <v>24.518999999999998</v>
      </c>
      <c r="I29" s="68">
        <v>24.295000000000002</v>
      </c>
      <c r="J29" s="67"/>
      <c r="K29" s="67">
        <f t="shared" si="13"/>
        <v>11.884700000000002</v>
      </c>
      <c r="L29" s="67">
        <f t="shared" si="13"/>
        <v>11.828000000000003</v>
      </c>
      <c r="M29" s="67">
        <f t="shared" si="13"/>
        <v>11.998999999999995</v>
      </c>
      <c r="O29">
        <f t="shared" si="1"/>
        <v>11.9039</v>
      </c>
      <c r="P29">
        <f t="shared" si="5"/>
        <v>8.7101836949626255E-2</v>
      </c>
      <c r="R29">
        <f>O29-O28</f>
        <v>-0.13433333333333231</v>
      </c>
      <c r="T29">
        <f t="shared" ref="T29" si="14">POWER(2,-R29)</f>
        <v>1.0975855043841907</v>
      </c>
      <c r="V29">
        <f t="shared" si="3"/>
        <v>9.7585504384190669E-2</v>
      </c>
    </row>
    <row r="30" spans="1:22">
      <c r="B30" s="62"/>
      <c r="C30" s="62"/>
      <c r="D30" s="62"/>
      <c r="E30" s="63"/>
      <c r="F30" s="62"/>
      <c r="G30" s="62"/>
      <c r="H30" s="67"/>
      <c r="I30" s="68"/>
      <c r="J30" s="67"/>
      <c r="K30" s="67"/>
      <c r="L30" s="67"/>
      <c r="M30" s="67"/>
    </row>
    <row r="31" spans="1:22">
      <c r="B31" s="62"/>
      <c r="C31" s="62"/>
      <c r="D31" s="62"/>
      <c r="E31" s="63"/>
      <c r="F31" s="62"/>
      <c r="G31" s="63"/>
      <c r="H31" s="68"/>
      <c r="I31" s="68"/>
      <c r="J31" s="67"/>
      <c r="K31" s="67"/>
      <c r="L31" s="67"/>
      <c r="M31" s="67"/>
    </row>
    <row r="32" spans="1:22">
      <c r="A32">
        <v>7</v>
      </c>
      <c r="B32" s="66" t="s">
        <v>241</v>
      </c>
      <c r="C32" s="70" t="s">
        <v>231</v>
      </c>
      <c r="D32" s="70" t="s">
        <v>232</v>
      </c>
      <c r="E32" s="70" t="s">
        <v>233</v>
      </c>
      <c r="F32" s="70"/>
      <c r="G32" s="70" t="s">
        <v>234</v>
      </c>
      <c r="H32" s="66" t="s">
        <v>232</v>
      </c>
      <c r="I32" s="66" t="s">
        <v>233</v>
      </c>
      <c r="J32" s="67"/>
      <c r="K32" s="67"/>
      <c r="L32" s="67"/>
      <c r="M32" s="67"/>
    </row>
    <row r="33" spans="1:22">
      <c r="B33" s="67" t="s">
        <v>248</v>
      </c>
      <c r="C33" s="63">
        <v>39.485399999999998</v>
      </c>
      <c r="D33" s="63">
        <v>39.667999999999999</v>
      </c>
      <c r="E33" s="63">
        <v>39.283999999999999</v>
      </c>
      <c r="F33" s="62"/>
      <c r="G33" s="62">
        <v>24.198699999999999</v>
      </c>
      <c r="H33" s="69">
        <v>24.193999999999999</v>
      </c>
      <c r="I33" s="67">
        <v>24.542999999999999</v>
      </c>
      <c r="J33" s="67"/>
      <c r="K33" s="67">
        <f t="shared" ref="K33:M34" si="15">C33-G33</f>
        <v>15.2867</v>
      </c>
      <c r="L33" s="67">
        <f t="shared" si="15"/>
        <v>15.474</v>
      </c>
      <c r="M33" s="67">
        <f t="shared" si="15"/>
        <v>14.741</v>
      </c>
      <c r="O33">
        <f t="shared" si="1"/>
        <v>15.167233333333334</v>
      </c>
      <c r="P33">
        <f t="shared" si="5"/>
        <v>0.38082340176692592</v>
      </c>
      <c r="R33">
        <f>O33-O33</f>
        <v>0</v>
      </c>
      <c r="T33">
        <f>POWER(2,-R33)</f>
        <v>1</v>
      </c>
      <c r="V33">
        <f t="shared" si="3"/>
        <v>0</v>
      </c>
    </row>
    <row r="34" spans="1:22">
      <c r="B34" s="67" t="s">
        <v>249</v>
      </c>
      <c r="C34" s="62">
        <v>38.125599999999999</v>
      </c>
      <c r="D34" s="62">
        <v>38.543999999999997</v>
      </c>
      <c r="E34" s="63">
        <v>38.253999999999998</v>
      </c>
      <c r="F34" s="62"/>
      <c r="G34" s="62">
        <v>24.4039</v>
      </c>
      <c r="H34" s="67">
        <v>24.518999999999998</v>
      </c>
      <c r="I34" s="68">
        <v>24.295000000000002</v>
      </c>
      <c r="J34" s="67"/>
      <c r="K34" s="67">
        <f t="shared" si="15"/>
        <v>13.721699999999998</v>
      </c>
      <c r="L34" s="67">
        <f t="shared" si="15"/>
        <v>14.024999999999999</v>
      </c>
      <c r="M34" s="67">
        <f t="shared" si="15"/>
        <v>13.958999999999996</v>
      </c>
      <c r="O34">
        <f t="shared" si="1"/>
        <v>13.901899999999998</v>
      </c>
      <c r="P34">
        <f t="shared" si="5"/>
        <v>0.1595087144954779</v>
      </c>
      <c r="R34">
        <f>O34-O33</f>
        <v>-1.2653333333333361</v>
      </c>
      <c r="T34">
        <f t="shared" ref="T34" si="16">POWER(2,-R34)</f>
        <v>2.403827436966246</v>
      </c>
      <c r="V34">
        <f t="shared" si="3"/>
        <v>1.403827436966246</v>
      </c>
    </row>
    <row r="35" spans="1:22">
      <c r="B35" s="62"/>
      <c r="C35" s="62"/>
      <c r="D35" s="62"/>
      <c r="E35" s="63"/>
      <c r="F35" s="62"/>
      <c r="G35" s="62"/>
      <c r="H35" s="68"/>
      <c r="I35" s="67"/>
      <c r="J35" s="67"/>
      <c r="K35" s="67"/>
      <c r="L35" s="67"/>
      <c r="M35" s="67"/>
    </row>
    <row r="36" spans="1:22">
      <c r="B36" s="70"/>
      <c r="C36" s="62"/>
      <c r="D36" s="62"/>
      <c r="E36" s="62"/>
      <c r="F36" s="62"/>
      <c r="G36" s="62"/>
      <c r="H36" s="68"/>
      <c r="I36" s="68"/>
      <c r="J36" s="68"/>
      <c r="K36" s="67"/>
      <c r="L36" s="67"/>
      <c r="M36" s="67"/>
    </row>
    <row r="37" spans="1:22">
      <c r="A37">
        <v>8</v>
      </c>
      <c r="B37" s="66" t="s">
        <v>235</v>
      </c>
      <c r="C37" s="70" t="s">
        <v>231</v>
      </c>
      <c r="D37" s="70" t="s">
        <v>232</v>
      </c>
      <c r="E37" s="70" t="s">
        <v>233</v>
      </c>
      <c r="F37" s="70"/>
      <c r="G37" s="70" t="s">
        <v>234</v>
      </c>
      <c r="H37" s="66" t="s">
        <v>232</v>
      </c>
      <c r="I37" s="66" t="s">
        <v>233</v>
      </c>
      <c r="J37" s="67"/>
      <c r="K37" s="67"/>
      <c r="L37" s="67"/>
      <c r="M37" s="67"/>
    </row>
    <row r="38" spans="1:22">
      <c r="B38" s="67" t="s">
        <v>248</v>
      </c>
      <c r="C38" s="63">
        <v>32.117800000000003</v>
      </c>
      <c r="D38" s="63">
        <v>32.193399999999997</v>
      </c>
      <c r="E38" s="63">
        <v>32.792000000000002</v>
      </c>
      <c r="F38" s="62"/>
      <c r="G38" s="62">
        <v>24.198699999999999</v>
      </c>
      <c r="H38" s="69">
        <v>24.193999999999999</v>
      </c>
      <c r="I38" s="67">
        <v>24.542999999999999</v>
      </c>
      <c r="J38" s="67"/>
      <c r="K38" s="67">
        <f t="shared" ref="K38:M39" si="17">C38-G38</f>
        <v>7.9191000000000038</v>
      </c>
      <c r="L38" s="67">
        <f t="shared" si="17"/>
        <v>7.9993999999999978</v>
      </c>
      <c r="M38" s="67">
        <f t="shared" si="17"/>
        <v>8.2490000000000023</v>
      </c>
      <c r="O38">
        <f t="shared" si="1"/>
        <v>8.0558333333333341</v>
      </c>
      <c r="P38">
        <f t="shared" si="5"/>
        <v>0.17203791248830411</v>
      </c>
      <c r="R38">
        <f>O38-O38</f>
        <v>0</v>
      </c>
      <c r="T38">
        <f>POWER(2,-R38)</f>
        <v>1</v>
      </c>
      <c r="V38">
        <f t="shared" si="3"/>
        <v>0</v>
      </c>
    </row>
    <row r="39" spans="1:22">
      <c r="B39" s="67" t="s">
        <v>249</v>
      </c>
      <c r="C39" s="62">
        <v>34.335900000000002</v>
      </c>
      <c r="D39" s="62">
        <v>34.529000000000003</v>
      </c>
      <c r="E39" s="63">
        <v>34.896000000000001</v>
      </c>
      <c r="F39" s="62"/>
      <c r="G39" s="62">
        <v>24.4039</v>
      </c>
      <c r="H39" s="67">
        <v>24.518999999999998</v>
      </c>
      <c r="I39" s="68">
        <v>24.295000000000002</v>
      </c>
      <c r="J39" s="67"/>
      <c r="K39" s="67">
        <f t="shared" si="17"/>
        <v>9.9320000000000022</v>
      </c>
      <c r="L39" s="67">
        <f t="shared" si="17"/>
        <v>10.010000000000005</v>
      </c>
      <c r="M39" s="67">
        <f t="shared" si="17"/>
        <v>10.600999999999999</v>
      </c>
      <c r="O39">
        <f t="shared" si="1"/>
        <v>10.181000000000003</v>
      </c>
      <c r="P39">
        <f t="shared" si="5"/>
        <v>0.36581552728116695</v>
      </c>
      <c r="R39">
        <f>O39-O38</f>
        <v>2.1251666666666686</v>
      </c>
      <c r="T39">
        <f t="shared" ref="T39" si="18">POWER(2,-R39)</f>
        <v>0.22922452821559483</v>
      </c>
      <c r="V39">
        <f t="shared" si="3"/>
        <v>-0.7707754717844052</v>
      </c>
    </row>
    <row r="40" spans="1:22">
      <c r="B40" s="62"/>
      <c r="C40" s="62"/>
      <c r="D40" s="62"/>
      <c r="E40" s="62"/>
      <c r="F40" s="62"/>
      <c r="G40" s="62"/>
      <c r="H40" s="67"/>
      <c r="I40" s="67"/>
      <c r="J40" s="67"/>
      <c r="K40" s="67"/>
      <c r="L40" s="67"/>
      <c r="M40" s="67"/>
    </row>
    <row r="41" spans="1:22">
      <c r="B41" s="62"/>
      <c r="C41" s="62"/>
      <c r="D41" s="62"/>
      <c r="E41" s="62"/>
      <c r="F41" s="62"/>
      <c r="G41" s="62"/>
      <c r="H41" s="67"/>
      <c r="I41" s="67"/>
      <c r="J41" s="67"/>
      <c r="K41" s="67"/>
      <c r="L41" s="67"/>
      <c r="M41" s="67"/>
    </row>
    <row r="42" spans="1:22">
      <c r="A42">
        <v>9</v>
      </c>
      <c r="B42" s="66" t="s">
        <v>242</v>
      </c>
      <c r="C42" s="70" t="s">
        <v>231</v>
      </c>
      <c r="D42" s="70" t="s">
        <v>232</v>
      </c>
      <c r="E42" s="70" t="s">
        <v>233</v>
      </c>
      <c r="F42" s="70"/>
      <c r="G42" s="70" t="s">
        <v>234</v>
      </c>
      <c r="H42" s="66" t="s">
        <v>232</v>
      </c>
      <c r="I42" s="66" t="s">
        <v>233</v>
      </c>
      <c r="J42" s="67"/>
      <c r="K42" s="67"/>
      <c r="L42" s="67"/>
      <c r="M42" s="67"/>
    </row>
    <row r="43" spans="1:22">
      <c r="B43" s="67" t="s">
        <v>248</v>
      </c>
      <c r="C43" s="63">
        <v>31.7669</v>
      </c>
      <c r="D43" s="63">
        <v>31.164999999999999</v>
      </c>
      <c r="E43" s="63">
        <v>31.254000000000001</v>
      </c>
      <c r="F43" s="62"/>
      <c r="G43" s="62">
        <v>24.198699999999999</v>
      </c>
      <c r="H43" s="69">
        <v>24.193999999999999</v>
      </c>
      <c r="I43" s="67">
        <v>24.542999999999999</v>
      </c>
      <c r="J43" s="67"/>
      <c r="K43" s="67">
        <f t="shared" ref="K43:M44" si="19">C43-G43</f>
        <v>7.5682000000000009</v>
      </c>
      <c r="L43" s="67">
        <f t="shared" si="19"/>
        <v>6.9710000000000001</v>
      </c>
      <c r="M43" s="67">
        <f t="shared" si="19"/>
        <v>6.7110000000000021</v>
      </c>
      <c r="O43">
        <f t="shared" si="1"/>
        <v>7.083400000000001</v>
      </c>
      <c r="P43">
        <f t="shared" si="5"/>
        <v>0.43951482341327203</v>
      </c>
      <c r="R43">
        <f>O43-O43</f>
        <v>0</v>
      </c>
      <c r="T43">
        <f>POWER(2,-R43)</f>
        <v>1</v>
      </c>
      <c r="V43">
        <f t="shared" si="3"/>
        <v>0</v>
      </c>
    </row>
    <row r="44" spans="1:22">
      <c r="B44" s="67" t="s">
        <v>249</v>
      </c>
      <c r="C44" s="62">
        <v>31.137</v>
      </c>
      <c r="D44" s="62">
        <v>31.693999999999999</v>
      </c>
      <c r="E44" s="63">
        <v>31.135999999999999</v>
      </c>
      <c r="F44" s="62"/>
      <c r="G44" s="62">
        <v>24.4039</v>
      </c>
      <c r="H44" s="67">
        <v>24.518999999999998</v>
      </c>
      <c r="I44" s="68">
        <v>24.295000000000002</v>
      </c>
      <c r="J44" s="67"/>
      <c r="K44" s="67">
        <f t="shared" si="19"/>
        <v>6.7331000000000003</v>
      </c>
      <c r="L44" s="67">
        <f t="shared" si="19"/>
        <v>7.1750000000000007</v>
      </c>
      <c r="M44" s="67">
        <f t="shared" si="19"/>
        <v>6.8409999999999975</v>
      </c>
      <c r="O44">
        <f t="shared" si="1"/>
        <v>6.9163666666666659</v>
      </c>
      <c r="P44">
        <f t="shared" si="5"/>
        <v>0.23038880904534761</v>
      </c>
      <c r="R44">
        <f>O44-O43</f>
        <v>-0.16703333333333514</v>
      </c>
      <c r="T44">
        <f t="shared" ref="T44" si="20">POWER(2,-R44)</f>
        <v>1.1227473627462292</v>
      </c>
      <c r="V44">
        <f t="shared" si="3"/>
        <v>0.12274736274622922</v>
      </c>
    </row>
    <row r="45" spans="1:22">
      <c r="B45" s="62"/>
      <c r="C45" s="62"/>
      <c r="D45" s="62"/>
      <c r="E45" s="62"/>
      <c r="F45" s="62"/>
      <c r="G45" s="62"/>
      <c r="H45" s="67"/>
      <c r="I45" s="67"/>
      <c r="J45" s="67"/>
      <c r="K45" s="67"/>
      <c r="L45" s="67"/>
      <c r="M45" s="67"/>
    </row>
    <row r="46" spans="1:22">
      <c r="B46" s="67"/>
      <c r="C46" s="62"/>
      <c r="D46" s="62"/>
      <c r="E46" s="62"/>
      <c r="F46" s="62"/>
      <c r="G46" s="62"/>
      <c r="H46" s="67"/>
      <c r="I46" s="67"/>
      <c r="J46" s="67"/>
      <c r="K46" s="67"/>
      <c r="L46" s="67"/>
      <c r="M46" s="67"/>
    </row>
    <row r="47" spans="1:22">
      <c r="A47">
        <v>11</v>
      </c>
      <c r="B47" s="66" t="s">
        <v>243</v>
      </c>
      <c r="C47" s="70" t="s">
        <v>231</v>
      </c>
      <c r="D47" s="70" t="s">
        <v>232</v>
      </c>
      <c r="E47" s="70" t="s">
        <v>233</v>
      </c>
      <c r="F47" s="70"/>
      <c r="G47" s="70" t="s">
        <v>234</v>
      </c>
      <c r="H47" s="66" t="s">
        <v>232</v>
      </c>
      <c r="I47" s="66" t="s">
        <v>233</v>
      </c>
      <c r="J47" s="67"/>
      <c r="K47" s="67"/>
      <c r="L47" s="67"/>
      <c r="M47" s="67"/>
    </row>
    <row r="48" spans="1:22">
      <c r="B48" s="67" t="s">
        <v>248</v>
      </c>
      <c r="C48" s="63">
        <v>35.379600000000003</v>
      </c>
      <c r="D48" s="63">
        <v>35.332999999999998</v>
      </c>
      <c r="E48" s="63">
        <v>35.583399999999997</v>
      </c>
      <c r="F48" s="62"/>
      <c r="G48" s="62">
        <v>24.198699999999999</v>
      </c>
      <c r="H48" s="69">
        <v>24.193999999999999</v>
      </c>
      <c r="I48" s="67">
        <v>24.542999999999999</v>
      </c>
      <c r="J48" s="67"/>
      <c r="K48" s="67">
        <f t="shared" ref="K48:M49" si="21">C48-G48</f>
        <v>11.180900000000005</v>
      </c>
      <c r="L48" s="67">
        <f t="shared" si="21"/>
        <v>11.138999999999999</v>
      </c>
      <c r="M48" s="67">
        <f t="shared" si="21"/>
        <v>11.040399999999998</v>
      </c>
      <c r="O48">
        <f t="shared" si="1"/>
        <v>11.120100000000001</v>
      </c>
      <c r="P48">
        <f t="shared" si="5"/>
        <v>7.2131615814429229E-2</v>
      </c>
      <c r="R48">
        <f>O48-O48</f>
        <v>0</v>
      </c>
      <c r="T48">
        <f>POWER(2,-R48)</f>
        <v>1</v>
      </c>
      <c r="V48">
        <f t="shared" si="3"/>
        <v>0</v>
      </c>
    </row>
    <row r="49" spans="1:22">
      <c r="B49" s="67" t="s">
        <v>249</v>
      </c>
      <c r="C49" s="62">
        <v>35.807499999999997</v>
      </c>
      <c r="D49" s="62">
        <v>35.726500000000001</v>
      </c>
      <c r="E49" s="63">
        <v>35.832299999999996</v>
      </c>
      <c r="F49" s="62"/>
      <c r="G49" s="62">
        <v>24.4039</v>
      </c>
      <c r="H49" s="67">
        <v>24.518999999999998</v>
      </c>
      <c r="I49" s="68">
        <v>24.295000000000002</v>
      </c>
      <c r="J49" s="67"/>
      <c r="K49" s="67">
        <f t="shared" si="21"/>
        <v>11.403599999999997</v>
      </c>
      <c r="L49" s="67">
        <f t="shared" si="21"/>
        <v>11.207500000000003</v>
      </c>
      <c r="M49" s="67">
        <f t="shared" si="21"/>
        <v>11.537299999999995</v>
      </c>
      <c r="O49">
        <f t="shared" si="1"/>
        <v>11.382799999999998</v>
      </c>
      <c r="P49">
        <f t="shared" si="5"/>
        <v>0.16588095128735725</v>
      </c>
      <c r="R49">
        <f>O49-O48</f>
        <v>0.26269999999999705</v>
      </c>
      <c r="T49">
        <f t="shared" ref="T49" si="22">POWER(2,-R49)</f>
        <v>0.83352651610567274</v>
      </c>
      <c r="V49">
        <f t="shared" si="3"/>
        <v>-0.16647348389432726</v>
      </c>
    </row>
    <row r="50" spans="1:22">
      <c r="B50" s="67"/>
      <c r="C50" s="62"/>
      <c r="D50" s="62"/>
      <c r="E50" s="62"/>
      <c r="F50" s="62"/>
      <c r="G50" s="62"/>
      <c r="H50" s="67"/>
      <c r="I50" s="67"/>
      <c r="J50" s="67"/>
      <c r="K50" s="67"/>
      <c r="L50" s="67"/>
      <c r="M50" s="67"/>
    </row>
    <row r="51" spans="1:22">
      <c r="B51" s="67"/>
      <c r="C51" s="62"/>
      <c r="D51" s="62"/>
      <c r="E51" s="62"/>
      <c r="F51" s="62"/>
      <c r="G51" s="62"/>
      <c r="H51" s="67"/>
      <c r="I51" s="67"/>
      <c r="J51" s="67"/>
      <c r="K51" s="67"/>
      <c r="L51" s="67"/>
      <c r="M51" s="67"/>
    </row>
    <row r="52" spans="1:22">
      <c r="A52">
        <v>12</v>
      </c>
      <c r="B52" s="66" t="s">
        <v>244</v>
      </c>
      <c r="C52" s="70" t="s">
        <v>231</v>
      </c>
      <c r="D52" s="70" t="s">
        <v>232</v>
      </c>
      <c r="E52" s="70" t="s">
        <v>233</v>
      </c>
      <c r="F52" s="70"/>
      <c r="G52" s="70" t="s">
        <v>234</v>
      </c>
      <c r="H52" s="66" t="s">
        <v>232</v>
      </c>
      <c r="I52" s="66" t="s">
        <v>233</v>
      </c>
      <c r="J52" s="67"/>
      <c r="K52" s="67"/>
      <c r="L52" s="67"/>
      <c r="M52" s="67"/>
    </row>
    <row r="53" spans="1:22">
      <c r="B53" s="67" t="s">
        <v>248</v>
      </c>
      <c r="C53" s="63">
        <v>25.713799999999999</v>
      </c>
      <c r="D53" s="63">
        <v>25.395</v>
      </c>
      <c r="E53" s="63">
        <v>25.338999999999999</v>
      </c>
      <c r="F53" s="62"/>
      <c r="G53" s="62">
        <v>24.198699999999999</v>
      </c>
      <c r="H53" s="69">
        <v>24.193999999999999</v>
      </c>
      <c r="I53" s="67">
        <v>24.542999999999999</v>
      </c>
      <c r="J53" s="67"/>
      <c r="K53" s="67">
        <f t="shared" ref="K53:M54" si="23">C53-G53</f>
        <v>1.5151000000000003</v>
      </c>
      <c r="L53" s="67">
        <f t="shared" si="23"/>
        <v>1.2010000000000005</v>
      </c>
      <c r="M53" s="67">
        <f t="shared" si="23"/>
        <v>0.79599999999999937</v>
      </c>
      <c r="O53">
        <f t="shared" si="1"/>
        <v>1.1707000000000001</v>
      </c>
      <c r="P53">
        <f t="shared" si="5"/>
        <v>0.36050626901622723</v>
      </c>
      <c r="R53">
        <f>O53-O53</f>
        <v>0</v>
      </c>
      <c r="T53">
        <f>POWER(2,-R53)</f>
        <v>1</v>
      </c>
      <c r="V53">
        <f t="shared" si="3"/>
        <v>0</v>
      </c>
    </row>
    <row r="54" spans="1:22">
      <c r="B54" s="67" t="s">
        <v>249</v>
      </c>
      <c r="C54" s="62">
        <v>28.974</v>
      </c>
      <c r="D54" s="62">
        <v>28.835000000000001</v>
      </c>
      <c r="E54" s="63">
        <v>28.542000000000002</v>
      </c>
      <c r="F54" s="62"/>
      <c r="G54" s="62">
        <v>24.4039</v>
      </c>
      <c r="H54" s="67">
        <v>24.518999999999998</v>
      </c>
      <c r="I54" s="68">
        <v>24.295000000000002</v>
      </c>
      <c r="J54" s="67"/>
      <c r="K54" s="67">
        <f t="shared" si="23"/>
        <v>4.5701000000000001</v>
      </c>
      <c r="L54" s="67">
        <f t="shared" si="23"/>
        <v>4.3160000000000025</v>
      </c>
      <c r="M54" s="67">
        <f t="shared" si="23"/>
        <v>4.2469999999999999</v>
      </c>
      <c r="O54">
        <f t="shared" si="1"/>
        <v>4.3777000000000008</v>
      </c>
      <c r="P54">
        <f t="shared" si="5"/>
        <v>0.17015748587705412</v>
      </c>
      <c r="R54">
        <f>O54-O53</f>
        <v>3.2070000000000007</v>
      </c>
      <c r="T54">
        <f t="shared" ref="T54" si="24">POWER(2,-R54)</f>
        <v>0.10829210705001087</v>
      </c>
      <c r="V54">
        <f t="shared" si="3"/>
        <v>-0.89170789294998909</v>
      </c>
    </row>
    <row r="55" spans="1:22">
      <c r="B55" s="67"/>
      <c r="C55" s="62"/>
      <c r="D55" s="62"/>
      <c r="E55" s="62"/>
      <c r="F55" s="62"/>
      <c r="G55" s="62"/>
      <c r="H55" s="67"/>
      <c r="I55" s="67"/>
      <c r="J55" s="67"/>
      <c r="K55" s="67"/>
      <c r="L55" s="67"/>
      <c r="M55" s="67"/>
    </row>
    <row r="56" spans="1:22">
      <c r="B56" s="67"/>
      <c r="C56" s="62"/>
      <c r="D56" s="62"/>
      <c r="E56" s="62"/>
      <c r="F56" s="62"/>
      <c r="G56" s="62"/>
      <c r="H56" s="67"/>
      <c r="I56" s="67"/>
      <c r="J56" s="67"/>
      <c r="K56" s="67"/>
      <c r="L56" s="67"/>
      <c r="M56" s="67"/>
    </row>
    <row r="57" spans="1:22">
      <c r="A57">
        <v>13</v>
      </c>
      <c r="B57" s="66" t="s">
        <v>245</v>
      </c>
      <c r="C57" s="70" t="s">
        <v>231</v>
      </c>
      <c r="D57" s="70" t="s">
        <v>232</v>
      </c>
      <c r="E57" s="70" t="s">
        <v>233</v>
      </c>
      <c r="F57" s="70"/>
      <c r="G57" s="70" t="s">
        <v>234</v>
      </c>
      <c r="H57" s="66" t="s">
        <v>232</v>
      </c>
      <c r="I57" s="66" t="s">
        <v>233</v>
      </c>
      <c r="J57" s="67"/>
      <c r="K57" s="67"/>
      <c r="L57" s="67"/>
      <c r="M57" s="67"/>
    </row>
    <row r="58" spans="1:22">
      <c r="B58" s="67" t="s">
        <v>248</v>
      </c>
      <c r="C58" s="63">
        <v>35.8827</v>
      </c>
      <c r="D58" s="63">
        <v>35.332999999999998</v>
      </c>
      <c r="E58" s="63">
        <v>35.583399999999997</v>
      </c>
      <c r="F58" s="62"/>
      <c r="G58" s="62">
        <v>24.198699999999999</v>
      </c>
      <c r="H58" s="69">
        <v>24.193999999999999</v>
      </c>
      <c r="I58" s="67">
        <v>24.542999999999999</v>
      </c>
      <c r="J58" s="67"/>
      <c r="K58" s="67">
        <f t="shared" ref="K58:M59" si="25">C58-G58</f>
        <v>11.684000000000001</v>
      </c>
      <c r="L58" s="67">
        <f t="shared" si="25"/>
        <v>11.138999999999999</v>
      </c>
      <c r="M58" s="67">
        <f t="shared" si="25"/>
        <v>11.040399999999998</v>
      </c>
      <c r="O58">
        <f t="shared" si="1"/>
        <v>11.287799999999999</v>
      </c>
      <c r="P58">
        <f t="shared" si="5"/>
        <v>0.34664292867445162</v>
      </c>
      <c r="R58">
        <f>O58-O58</f>
        <v>0</v>
      </c>
      <c r="T58">
        <f>POWER(2,-R58)</f>
        <v>1</v>
      </c>
      <c r="V58">
        <f t="shared" si="3"/>
        <v>0</v>
      </c>
    </row>
    <row r="59" spans="1:22">
      <c r="B59" s="67" t="s">
        <v>249</v>
      </c>
      <c r="C59" s="62">
        <v>38.3504</v>
      </c>
      <c r="D59" s="62">
        <v>38.726500000000001</v>
      </c>
      <c r="E59" s="63">
        <v>38.832299999999996</v>
      </c>
      <c r="F59" s="62"/>
      <c r="G59" s="62">
        <v>24.4039</v>
      </c>
      <c r="H59" s="67">
        <v>24.518999999999998</v>
      </c>
      <c r="I59" s="68">
        <v>24.295000000000002</v>
      </c>
      <c r="J59" s="67"/>
      <c r="K59" s="67">
        <f t="shared" si="25"/>
        <v>13.9465</v>
      </c>
      <c r="L59" s="67">
        <f t="shared" si="25"/>
        <v>14.207500000000003</v>
      </c>
      <c r="M59" s="67">
        <f t="shared" si="25"/>
        <v>14.537299999999995</v>
      </c>
      <c r="O59">
        <f t="shared" si="1"/>
        <v>14.230433333333332</v>
      </c>
      <c r="P59">
        <f t="shared" si="5"/>
        <v>0.29606690685271053</v>
      </c>
      <c r="R59">
        <f>O59-O58</f>
        <v>2.9426333333333332</v>
      </c>
      <c r="T59">
        <f t="shared" ref="T59" si="26">POWER(2,-R59)</f>
        <v>0.13007058707028943</v>
      </c>
      <c r="V59">
        <f t="shared" si="3"/>
        <v>-0.8699294129297106</v>
      </c>
    </row>
    <row r="60" spans="1:22">
      <c r="B60" s="67"/>
      <c r="C60" s="62"/>
      <c r="D60" s="62"/>
      <c r="E60" s="62"/>
      <c r="F60" s="62"/>
      <c r="G60" s="62"/>
      <c r="H60" s="67"/>
      <c r="I60" s="67"/>
      <c r="J60" s="67"/>
      <c r="K60" s="67"/>
      <c r="L60" s="67"/>
      <c r="M60" s="67"/>
    </row>
    <row r="61" spans="1:22">
      <c r="B61" s="67"/>
      <c r="C61" s="62"/>
      <c r="D61" s="62"/>
      <c r="E61" s="62"/>
      <c r="F61" s="62"/>
      <c r="G61" s="62"/>
      <c r="H61" s="67"/>
      <c r="I61" s="67"/>
      <c r="J61" s="67"/>
      <c r="K61" s="67"/>
      <c r="L61" s="67"/>
      <c r="M61" s="67"/>
    </row>
    <row r="62" spans="1:22">
      <c r="A62">
        <v>14</v>
      </c>
      <c r="B62" s="66" t="s">
        <v>246</v>
      </c>
      <c r="C62" s="70" t="s">
        <v>231</v>
      </c>
      <c r="D62" s="70" t="s">
        <v>232</v>
      </c>
      <c r="E62" s="70" t="s">
        <v>233</v>
      </c>
      <c r="F62" s="70"/>
      <c r="G62" s="70" t="s">
        <v>234</v>
      </c>
      <c r="H62" s="66" t="s">
        <v>232</v>
      </c>
      <c r="I62" s="66" t="s">
        <v>233</v>
      </c>
      <c r="J62" s="67"/>
      <c r="K62" s="67"/>
      <c r="L62" s="67"/>
      <c r="M62" s="67"/>
    </row>
    <row r="63" spans="1:22">
      <c r="B63" s="67" t="s">
        <v>248</v>
      </c>
      <c r="C63" s="63">
        <v>27.890599999999999</v>
      </c>
      <c r="D63" s="63">
        <v>27.692</v>
      </c>
      <c r="E63" s="63">
        <v>27.114999999999998</v>
      </c>
      <c r="F63" s="62"/>
      <c r="G63" s="62">
        <v>24.198699999999999</v>
      </c>
      <c r="H63" s="69">
        <v>24.193999999999999</v>
      </c>
      <c r="I63" s="67">
        <v>24.542999999999999</v>
      </c>
      <c r="J63" s="67"/>
      <c r="K63" s="67">
        <f t="shared" ref="K63:M64" si="27">C63-G63</f>
        <v>3.6919000000000004</v>
      </c>
      <c r="L63" s="67">
        <f t="shared" si="27"/>
        <v>3.4980000000000011</v>
      </c>
      <c r="M63" s="67">
        <f t="shared" si="27"/>
        <v>2.5719999999999992</v>
      </c>
      <c r="O63">
        <f t="shared" si="1"/>
        <v>3.2539666666666669</v>
      </c>
      <c r="P63">
        <f t="shared" si="5"/>
        <v>0.59850497352430732</v>
      </c>
      <c r="R63">
        <f>O63-O63</f>
        <v>0</v>
      </c>
      <c r="T63">
        <f>POWER(2,-R63)</f>
        <v>1</v>
      </c>
      <c r="V63">
        <f t="shared" si="3"/>
        <v>0</v>
      </c>
    </row>
    <row r="64" spans="1:22">
      <c r="B64" s="67" t="s">
        <v>249</v>
      </c>
      <c r="C64" s="62">
        <v>31.029399999999999</v>
      </c>
      <c r="D64" s="62">
        <v>31.713000000000001</v>
      </c>
      <c r="E64" s="63">
        <v>31.295000000000002</v>
      </c>
      <c r="F64" s="62"/>
      <c r="G64" s="62">
        <v>24.4039</v>
      </c>
      <c r="H64" s="67">
        <v>24.518999999999998</v>
      </c>
      <c r="I64" s="68">
        <v>24.295000000000002</v>
      </c>
      <c r="J64" s="67"/>
      <c r="K64" s="67">
        <f t="shared" si="27"/>
        <v>6.6254999999999988</v>
      </c>
      <c r="L64" s="67">
        <f t="shared" si="27"/>
        <v>7.1940000000000026</v>
      </c>
      <c r="M64" s="67">
        <f t="shared" si="27"/>
        <v>7</v>
      </c>
      <c r="O64">
        <f t="shared" si="1"/>
        <v>6.9398333333333335</v>
      </c>
      <c r="P64">
        <f t="shared" si="5"/>
        <v>0.2889863030202891</v>
      </c>
      <c r="R64">
        <f>O64-O63</f>
        <v>3.6858666666666666</v>
      </c>
      <c r="T64">
        <f t="shared" ref="T64" si="28">POWER(2,-R64)</f>
        <v>7.7704035352392689E-2</v>
      </c>
      <c r="V64">
        <f t="shared" si="3"/>
        <v>-0.92229596464760732</v>
      </c>
    </row>
  </sheetData>
  <mergeCells count="2">
    <mergeCell ref="C3:E3"/>
    <mergeCell ref="G3:I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zoomScale="66" zoomScaleNormal="66" workbookViewId="0"/>
  </sheetViews>
  <sheetFormatPr defaultRowHeight="15"/>
  <sheetData>
    <row r="1" spans="1:18">
      <c r="A1" s="1" t="s">
        <v>784</v>
      </c>
    </row>
    <row r="3" spans="1:18">
      <c r="A3" s="1" t="s">
        <v>250</v>
      </c>
      <c r="B3" s="1"/>
      <c r="C3" s="1"/>
      <c r="D3" s="1"/>
      <c r="E3" s="1" t="s">
        <v>251</v>
      </c>
      <c r="F3" s="1"/>
      <c r="G3" s="1"/>
      <c r="H3" s="1"/>
      <c r="I3" s="1" t="s">
        <v>252</v>
      </c>
      <c r="J3" s="1"/>
      <c r="K3" s="1"/>
      <c r="L3" s="1"/>
      <c r="M3" s="1" t="s">
        <v>253</v>
      </c>
      <c r="N3" s="1"/>
      <c r="O3" s="1"/>
      <c r="P3" s="1"/>
      <c r="Q3" s="1" t="s">
        <v>254</v>
      </c>
      <c r="R3" s="1" t="s">
        <v>255</v>
      </c>
    </row>
    <row r="4" spans="1:18">
      <c r="A4" s="1">
        <v>1</v>
      </c>
      <c r="B4" s="1" t="s">
        <v>256</v>
      </c>
      <c r="C4" s="1" t="s">
        <v>204</v>
      </c>
      <c r="D4" s="1" t="s">
        <v>218</v>
      </c>
      <c r="E4" s="1" t="s">
        <v>257</v>
      </c>
      <c r="F4" s="1" t="s">
        <v>258</v>
      </c>
      <c r="G4" s="1" t="s">
        <v>259</v>
      </c>
      <c r="H4" s="1"/>
      <c r="I4" s="1" t="s">
        <v>260</v>
      </c>
      <c r="J4" s="1" t="s">
        <v>258</v>
      </c>
      <c r="K4" s="1" t="s">
        <v>259</v>
      </c>
      <c r="L4" s="1"/>
      <c r="M4" s="1"/>
      <c r="N4" s="1"/>
      <c r="O4" s="1"/>
      <c r="P4" s="1"/>
      <c r="Q4" s="1"/>
      <c r="R4" s="1"/>
    </row>
    <row r="5" spans="1:18">
      <c r="B5" t="s">
        <v>220</v>
      </c>
      <c r="C5" t="s">
        <v>220</v>
      </c>
      <c r="D5" t="s">
        <v>220</v>
      </c>
      <c r="E5">
        <v>24.943300000000001</v>
      </c>
      <c r="F5">
        <v>24.437999999999999</v>
      </c>
      <c r="G5">
        <v>24.15</v>
      </c>
      <c r="I5">
        <v>23.591999999999999</v>
      </c>
      <c r="J5">
        <v>23.195</v>
      </c>
      <c r="K5">
        <v>23.695</v>
      </c>
      <c r="M5">
        <v>1.3513000000000019</v>
      </c>
      <c r="N5">
        <v>1.2429999999999986</v>
      </c>
      <c r="O5">
        <v>0.45499999999999829</v>
      </c>
      <c r="Q5">
        <v>1.0164333333333329</v>
      </c>
      <c r="R5">
        <v>0.48922158919382785</v>
      </c>
    </row>
    <row r="6" spans="1:18">
      <c r="B6" t="s">
        <v>220</v>
      </c>
      <c r="C6" t="s">
        <v>220</v>
      </c>
      <c r="D6" t="s">
        <v>220</v>
      </c>
      <c r="E6">
        <v>25.128</v>
      </c>
      <c r="F6">
        <v>25.518000000000001</v>
      </c>
      <c r="G6">
        <v>24.69</v>
      </c>
      <c r="I6">
        <v>23.119</v>
      </c>
      <c r="J6">
        <v>23.693000000000001</v>
      </c>
      <c r="K6">
        <v>23.193999999999999</v>
      </c>
      <c r="M6">
        <v>2.0090000000000003</v>
      </c>
      <c r="N6">
        <v>1.8249999999999993</v>
      </c>
      <c r="O6">
        <v>1.4960000000000022</v>
      </c>
      <c r="Q6">
        <v>1.7766666666666673</v>
      </c>
      <c r="R6">
        <v>0.2598929266704525</v>
      </c>
    </row>
    <row r="7" spans="1:18">
      <c r="B7" t="s">
        <v>221</v>
      </c>
      <c r="C7" t="s">
        <v>220</v>
      </c>
      <c r="D7" t="s">
        <v>220</v>
      </c>
      <c r="E7">
        <v>26.351800000000001</v>
      </c>
      <c r="F7">
        <v>26.629000000000001</v>
      </c>
      <c r="G7">
        <v>26.103999999999999</v>
      </c>
      <c r="I7">
        <v>24.613</v>
      </c>
      <c r="J7">
        <v>24.922999999999998</v>
      </c>
      <c r="K7">
        <v>24.300999999999998</v>
      </c>
      <c r="M7">
        <v>1.7388000000000012</v>
      </c>
      <c r="N7">
        <v>1.7060000000000031</v>
      </c>
      <c r="O7">
        <v>1.8030000000000008</v>
      </c>
      <c r="Q7">
        <v>1.7492666666666683</v>
      </c>
      <c r="R7">
        <v>4.9339774354299919E-2</v>
      </c>
    </row>
    <row r="8" spans="1:18">
      <c r="B8" t="s">
        <v>221</v>
      </c>
      <c r="C8" t="s">
        <v>220</v>
      </c>
      <c r="D8" t="s">
        <v>220</v>
      </c>
      <c r="E8">
        <v>28.3856</v>
      </c>
      <c r="F8">
        <v>28.622</v>
      </c>
      <c r="G8">
        <v>28.393999999999998</v>
      </c>
      <c r="I8">
        <v>23.602</v>
      </c>
      <c r="J8">
        <v>23.11</v>
      </c>
      <c r="K8">
        <v>23.922999999999998</v>
      </c>
      <c r="M8">
        <v>4.7835999999999999</v>
      </c>
      <c r="N8">
        <v>5.5120000000000005</v>
      </c>
      <c r="O8">
        <v>4.4710000000000001</v>
      </c>
      <c r="Q8">
        <v>4.9222000000000001</v>
      </c>
      <c r="R8">
        <v>0.53416076231786269</v>
      </c>
    </row>
    <row r="9" spans="1:18">
      <c r="B9" t="s">
        <v>220</v>
      </c>
      <c r="C9" t="s">
        <v>221</v>
      </c>
      <c r="D9" t="s">
        <v>220</v>
      </c>
      <c r="E9">
        <v>27.351800000000001</v>
      </c>
      <c r="F9">
        <v>27.629000000000001</v>
      </c>
      <c r="G9">
        <v>27.103999999999999</v>
      </c>
      <c r="I9">
        <v>24.952999999999999</v>
      </c>
      <c r="J9">
        <v>24.503</v>
      </c>
      <c r="K9">
        <v>24.225000000000001</v>
      </c>
      <c r="M9">
        <v>2.3988000000000014</v>
      </c>
      <c r="N9">
        <v>3.1260000000000012</v>
      </c>
      <c r="O9">
        <v>2.8789999999999978</v>
      </c>
      <c r="Q9">
        <v>2.8012666666666668</v>
      </c>
      <c r="R9">
        <v>0.36977941172181827</v>
      </c>
    </row>
    <row r="10" spans="1:18">
      <c r="B10" t="s">
        <v>220</v>
      </c>
      <c r="C10" t="s">
        <v>221</v>
      </c>
      <c r="D10" t="s">
        <v>220</v>
      </c>
      <c r="E10">
        <v>28.3856</v>
      </c>
      <c r="F10">
        <v>28.622</v>
      </c>
      <c r="G10">
        <v>28.393999999999998</v>
      </c>
      <c r="I10">
        <v>23.193999999999999</v>
      </c>
      <c r="J10">
        <v>23.093</v>
      </c>
      <c r="K10">
        <v>23.193000000000001</v>
      </c>
      <c r="M10">
        <v>5.1916000000000011</v>
      </c>
      <c r="N10">
        <v>5.5289999999999999</v>
      </c>
      <c r="O10">
        <v>5.200999999999997</v>
      </c>
      <c r="Q10">
        <v>5.307199999999999</v>
      </c>
      <c r="R10">
        <v>0.1921419267104402</v>
      </c>
    </row>
    <row r="11" spans="1:18">
      <c r="B11" t="s">
        <v>221</v>
      </c>
      <c r="C11" t="s">
        <v>221</v>
      </c>
      <c r="D11" t="s">
        <v>220</v>
      </c>
      <c r="E11">
        <v>29.6</v>
      </c>
      <c r="F11">
        <v>29.195</v>
      </c>
      <c r="G11">
        <v>29.693999999999999</v>
      </c>
      <c r="I11">
        <v>23.492000000000001</v>
      </c>
      <c r="J11">
        <v>23.465</v>
      </c>
      <c r="K11">
        <v>23.693000000000001</v>
      </c>
      <c r="M11">
        <v>6.1080000000000005</v>
      </c>
      <c r="N11">
        <v>5.73</v>
      </c>
      <c r="O11">
        <v>6.0009999999999977</v>
      </c>
      <c r="Q11">
        <v>5.9463333333333326</v>
      </c>
      <c r="R11">
        <v>0.19483924998144805</v>
      </c>
    </row>
    <row r="12" spans="1:18">
      <c r="B12" t="s">
        <v>221</v>
      </c>
      <c r="C12" t="s">
        <v>221</v>
      </c>
      <c r="D12" t="s">
        <v>221</v>
      </c>
      <c r="E12">
        <v>27.3856</v>
      </c>
      <c r="F12">
        <v>27.622</v>
      </c>
      <c r="G12">
        <v>27.393999999999998</v>
      </c>
      <c r="I12">
        <v>24.312000000000001</v>
      </c>
      <c r="J12">
        <v>24.603000000000002</v>
      </c>
      <c r="K12">
        <v>24.33</v>
      </c>
      <c r="M12">
        <v>3.073599999999999</v>
      </c>
      <c r="N12">
        <v>3.0189999999999984</v>
      </c>
      <c r="O12">
        <v>3.0640000000000001</v>
      </c>
      <c r="Q12">
        <v>3.0521999999999991</v>
      </c>
      <c r="R12">
        <v>2.9149957118322387E-2</v>
      </c>
    </row>
    <row r="15" spans="1:18">
      <c r="A15">
        <v>2</v>
      </c>
      <c r="B15" t="s">
        <v>256</v>
      </c>
      <c r="C15" t="s">
        <v>204</v>
      </c>
      <c r="D15" t="s">
        <v>218</v>
      </c>
      <c r="E15" t="s">
        <v>257</v>
      </c>
      <c r="F15" t="s">
        <v>258</v>
      </c>
      <c r="G15" t="s">
        <v>259</v>
      </c>
      <c r="I15" t="s">
        <v>260</v>
      </c>
      <c r="J15" t="s">
        <v>258</v>
      </c>
      <c r="K15" t="s">
        <v>259</v>
      </c>
    </row>
    <row r="16" spans="1:18">
      <c r="B16" t="s">
        <v>220</v>
      </c>
      <c r="C16" t="s">
        <v>220</v>
      </c>
      <c r="D16" t="s">
        <v>220</v>
      </c>
      <c r="E16">
        <v>23.991</v>
      </c>
      <c r="F16">
        <v>23.195</v>
      </c>
      <c r="G16">
        <v>23.593</v>
      </c>
      <c r="I16">
        <v>22.594000000000001</v>
      </c>
      <c r="J16">
        <v>22.611000000000001</v>
      </c>
      <c r="K16">
        <v>22.155000000000001</v>
      </c>
      <c r="M16">
        <v>1.3969999999999985</v>
      </c>
      <c r="N16">
        <v>0.58399999999999963</v>
      </c>
      <c r="O16">
        <v>1.4379999999999988</v>
      </c>
      <c r="Q16">
        <v>1.1396666666666657</v>
      </c>
      <c r="R16">
        <v>0.4816579007276145</v>
      </c>
    </row>
    <row r="17" spans="2:18">
      <c r="B17" t="s">
        <v>220</v>
      </c>
      <c r="C17" t="s">
        <v>220</v>
      </c>
      <c r="D17" t="s">
        <v>220</v>
      </c>
      <c r="E17">
        <v>24.652999999999999</v>
      </c>
      <c r="F17">
        <v>24.965</v>
      </c>
      <c r="G17">
        <v>24.295000000000002</v>
      </c>
      <c r="I17">
        <v>23.193999999999999</v>
      </c>
      <c r="J17">
        <v>23.456</v>
      </c>
      <c r="K17">
        <v>23.632999999999999</v>
      </c>
      <c r="M17">
        <v>1.4589999999999996</v>
      </c>
      <c r="N17">
        <v>1.5090000000000003</v>
      </c>
      <c r="O17">
        <v>0.66200000000000259</v>
      </c>
      <c r="Q17">
        <v>1.2100000000000009</v>
      </c>
      <c r="R17">
        <v>0.47523993939903508</v>
      </c>
    </row>
    <row r="18" spans="2:18">
      <c r="B18" t="s">
        <v>221</v>
      </c>
      <c r="C18" t="s">
        <v>220</v>
      </c>
      <c r="D18" t="s">
        <v>220</v>
      </c>
      <c r="E18">
        <v>25.395</v>
      </c>
      <c r="F18">
        <v>25.228999999999999</v>
      </c>
      <c r="G18">
        <v>25.695</v>
      </c>
      <c r="I18">
        <v>24.364000000000001</v>
      </c>
      <c r="J18">
        <v>24.395</v>
      </c>
      <c r="K18">
        <v>24.103000000000002</v>
      </c>
      <c r="M18">
        <v>1.0309999999999988</v>
      </c>
      <c r="N18">
        <v>0.83399999999999963</v>
      </c>
      <c r="O18">
        <v>1.5919999999999987</v>
      </c>
      <c r="Q18">
        <v>1.1523333333333323</v>
      </c>
      <c r="R18">
        <v>0.39329674971112227</v>
      </c>
    </row>
    <row r="19" spans="2:18">
      <c r="B19" t="s">
        <v>221</v>
      </c>
      <c r="C19" t="s">
        <v>220</v>
      </c>
      <c r="D19" t="s">
        <v>220</v>
      </c>
      <c r="E19">
        <v>27.395</v>
      </c>
      <c r="F19">
        <v>27.521999999999998</v>
      </c>
      <c r="G19">
        <v>27.593</v>
      </c>
      <c r="I19">
        <v>23.593</v>
      </c>
      <c r="J19">
        <v>23.449000000000002</v>
      </c>
      <c r="K19">
        <v>23.649000000000001</v>
      </c>
      <c r="M19">
        <v>3.8019999999999996</v>
      </c>
      <c r="N19">
        <v>4.0729999999999968</v>
      </c>
      <c r="O19">
        <v>3.9439999999999991</v>
      </c>
      <c r="Q19">
        <v>3.9396666666666653</v>
      </c>
      <c r="R19">
        <v>0.13555195805790843</v>
      </c>
    </row>
    <row r="20" spans="2:18">
      <c r="B20" t="s">
        <v>220</v>
      </c>
      <c r="C20" t="s">
        <v>221</v>
      </c>
      <c r="D20" t="s">
        <v>220</v>
      </c>
      <c r="E20">
        <v>26.393999999999998</v>
      </c>
      <c r="F20">
        <v>26.338999999999999</v>
      </c>
      <c r="G20">
        <v>26.789000000000001</v>
      </c>
      <c r="I20">
        <v>24.329000000000001</v>
      </c>
      <c r="J20">
        <v>24.393999999999998</v>
      </c>
      <c r="K20">
        <v>24.562999999999999</v>
      </c>
      <c r="M20">
        <v>2.0649999999999977</v>
      </c>
      <c r="N20">
        <v>1.9450000000000003</v>
      </c>
      <c r="O20">
        <v>2.2260000000000026</v>
      </c>
      <c r="Q20">
        <v>2.0786666666666669</v>
      </c>
      <c r="R20">
        <v>0.1409976359139887</v>
      </c>
    </row>
    <row r="21" spans="2:18">
      <c r="B21" t="s">
        <v>220</v>
      </c>
      <c r="C21" t="s">
        <v>221</v>
      </c>
      <c r="D21" t="s">
        <v>220</v>
      </c>
      <c r="E21">
        <v>27.529</v>
      </c>
      <c r="F21">
        <v>27.492999999999999</v>
      </c>
      <c r="G21">
        <v>27.356999999999999</v>
      </c>
      <c r="I21">
        <v>22.193999999999999</v>
      </c>
      <c r="J21">
        <v>22.693000000000001</v>
      </c>
      <c r="K21">
        <v>22.352</v>
      </c>
      <c r="M21">
        <v>5.3350000000000009</v>
      </c>
      <c r="N21">
        <v>4.7999999999999972</v>
      </c>
      <c r="O21">
        <v>5.004999999999999</v>
      </c>
      <c r="Q21">
        <v>5.046666666666666</v>
      </c>
      <c r="R21">
        <v>0.26992282847757487</v>
      </c>
    </row>
    <row r="22" spans="2:18">
      <c r="B22" t="s">
        <v>221</v>
      </c>
      <c r="C22" t="s">
        <v>221</v>
      </c>
      <c r="D22" t="s">
        <v>220</v>
      </c>
      <c r="E22">
        <v>28.785</v>
      </c>
      <c r="F22">
        <v>28.535</v>
      </c>
      <c r="G22">
        <v>28.734000000000002</v>
      </c>
      <c r="I22">
        <v>23.143000000000001</v>
      </c>
      <c r="J22">
        <v>23.512</v>
      </c>
      <c r="K22">
        <v>23.824000000000002</v>
      </c>
      <c r="M22">
        <v>5.6419999999999995</v>
      </c>
      <c r="N22">
        <v>5.0229999999999997</v>
      </c>
      <c r="O22">
        <v>4.91</v>
      </c>
      <c r="Q22">
        <v>5.1916666666666664</v>
      </c>
      <c r="R22">
        <v>0.39407148251723711</v>
      </c>
    </row>
    <row r="23" spans="2:18">
      <c r="B23" t="s">
        <v>221</v>
      </c>
      <c r="C23" t="s">
        <v>221</v>
      </c>
      <c r="D23" t="s">
        <v>221</v>
      </c>
      <c r="E23">
        <v>27.395</v>
      </c>
      <c r="F23">
        <v>27.338999999999999</v>
      </c>
      <c r="G23">
        <v>27.911999999999999</v>
      </c>
      <c r="I23">
        <v>24.312000000000001</v>
      </c>
      <c r="J23">
        <v>24.643000000000001</v>
      </c>
      <c r="K23">
        <v>24.395</v>
      </c>
      <c r="M23">
        <v>3.0829999999999984</v>
      </c>
      <c r="N23">
        <v>2.695999999999998</v>
      </c>
      <c r="O23">
        <v>3.5169999999999995</v>
      </c>
      <c r="Q23">
        <v>3.0986666666666651</v>
      </c>
      <c r="R23">
        <v>0.41072415723126493</v>
      </c>
    </row>
    <row r="26" spans="2:18">
      <c r="B26" t="s">
        <v>256</v>
      </c>
      <c r="C26" t="s">
        <v>204</v>
      </c>
      <c r="D26" t="s">
        <v>218</v>
      </c>
      <c r="E26" t="s">
        <v>257</v>
      </c>
      <c r="F26" t="s">
        <v>258</v>
      </c>
      <c r="G26" t="s">
        <v>259</v>
      </c>
      <c r="I26" t="s">
        <v>260</v>
      </c>
      <c r="J26" t="s">
        <v>258</v>
      </c>
      <c r="K26" t="s">
        <v>259</v>
      </c>
    </row>
    <row r="27" spans="2:18">
      <c r="B27" t="s">
        <v>220</v>
      </c>
      <c r="C27" t="s">
        <v>220</v>
      </c>
      <c r="D27" t="s">
        <v>220</v>
      </c>
      <c r="E27">
        <v>22.946000000000002</v>
      </c>
      <c r="F27">
        <v>22.792000000000002</v>
      </c>
      <c r="G27">
        <v>22.693999999999999</v>
      </c>
      <c r="I27">
        <v>21.495000000000001</v>
      </c>
      <c r="J27">
        <v>21.395</v>
      </c>
      <c r="K27">
        <v>21.559000000000001</v>
      </c>
      <c r="M27">
        <v>1.4510000000000005</v>
      </c>
      <c r="N27">
        <v>1.397000000000002</v>
      </c>
      <c r="O27">
        <v>1.134999999999998</v>
      </c>
      <c r="Q27">
        <v>1.3276666666666668</v>
      </c>
      <c r="R27">
        <v>0.1690246530342065</v>
      </c>
    </row>
    <row r="28" spans="2:18">
      <c r="B28" t="s">
        <v>220</v>
      </c>
      <c r="C28" t="s">
        <v>220</v>
      </c>
      <c r="D28" t="s">
        <v>220</v>
      </c>
      <c r="E28">
        <v>23.593</v>
      </c>
      <c r="F28">
        <v>23.193999999999999</v>
      </c>
      <c r="G28">
        <v>23.954000000000001</v>
      </c>
      <c r="I28">
        <v>21.864999999999998</v>
      </c>
      <c r="J28">
        <v>21.385000000000002</v>
      </c>
      <c r="K28">
        <v>21.294</v>
      </c>
      <c r="M28">
        <v>1.7280000000000015</v>
      </c>
      <c r="N28">
        <v>1.8089999999999975</v>
      </c>
      <c r="O28">
        <v>2.66</v>
      </c>
      <c r="Q28">
        <v>2.0656666666666665</v>
      </c>
      <c r="R28">
        <v>0.51629868616270291</v>
      </c>
    </row>
    <row r="29" spans="2:18">
      <c r="B29" t="s">
        <v>221</v>
      </c>
      <c r="C29" t="s">
        <v>220</v>
      </c>
      <c r="D29" t="s">
        <v>220</v>
      </c>
      <c r="E29">
        <v>24.582999999999998</v>
      </c>
      <c r="F29">
        <v>24.321999999999999</v>
      </c>
      <c r="G29">
        <v>24.672999999999998</v>
      </c>
      <c r="I29">
        <v>22.495000000000001</v>
      </c>
      <c r="J29">
        <v>22.195</v>
      </c>
      <c r="K29">
        <v>22.364999999999998</v>
      </c>
      <c r="M29">
        <v>2.0879999999999974</v>
      </c>
      <c r="N29">
        <v>2.1269999999999989</v>
      </c>
      <c r="O29">
        <v>2.3079999999999998</v>
      </c>
      <c r="Q29">
        <v>2.1743333333333319</v>
      </c>
      <c r="R29">
        <v>0.11738966450813966</v>
      </c>
    </row>
    <row r="30" spans="2:18">
      <c r="B30" t="s">
        <v>221</v>
      </c>
      <c r="C30" t="s">
        <v>220</v>
      </c>
      <c r="D30" t="s">
        <v>220</v>
      </c>
      <c r="E30">
        <v>26.733000000000001</v>
      </c>
      <c r="F30">
        <v>26.228000000000002</v>
      </c>
      <c r="G30">
        <v>26.734000000000002</v>
      </c>
      <c r="I30">
        <v>21.294</v>
      </c>
      <c r="J30">
        <v>21.783000000000001</v>
      </c>
      <c r="K30">
        <v>21.542000000000002</v>
      </c>
      <c r="M30">
        <v>5.4390000000000001</v>
      </c>
      <c r="N30">
        <v>4.4450000000000003</v>
      </c>
      <c r="O30">
        <v>5.1920000000000002</v>
      </c>
      <c r="Q30">
        <v>5.0253333333333332</v>
      </c>
      <c r="R30">
        <v>0.51753486194973686</v>
      </c>
    </row>
    <row r="31" spans="2:18">
      <c r="B31" t="s">
        <v>220</v>
      </c>
      <c r="C31" t="s">
        <v>221</v>
      </c>
      <c r="D31" t="s">
        <v>220</v>
      </c>
      <c r="E31">
        <v>25.693999999999999</v>
      </c>
      <c r="F31">
        <v>25.440999999999999</v>
      </c>
      <c r="G31">
        <v>25.934000000000001</v>
      </c>
      <c r="I31">
        <v>23.591999999999999</v>
      </c>
      <c r="J31">
        <v>23.119</v>
      </c>
      <c r="K31">
        <v>23.834</v>
      </c>
      <c r="M31">
        <v>2.1020000000000003</v>
      </c>
      <c r="N31">
        <v>2.3219999999999992</v>
      </c>
      <c r="O31">
        <v>2.1000000000000014</v>
      </c>
      <c r="Q31">
        <v>2.174666666666667</v>
      </c>
      <c r="R31">
        <v>0.12759832809771876</v>
      </c>
    </row>
    <row r="32" spans="2:18">
      <c r="B32" t="s">
        <v>220</v>
      </c>
      <c r="C32" t="s">
        <v>221</v>
      </c>
      <c r="D32" t="s">
        <v>220</v>
      </c>
      <c r="E32">
        <v>28.844000000000001</v>
      </c>
      <c r="F32">
        <v>28.722999999999999</v>
      </c>
      <c r="G32">
        <v>28.745000000000001</v>
      </c>
      <c r="I32">
        <v>23.692</v>
      </c>
      <c r="J32">
        <v>23.119</v>
      </c>
      <c r="K32">
        <v>23.783999999999999</v>
      </c>
      <c r="M32">
        <v>5.152000000000001</v>
      </c>
      <c r="N32">
        <v>5.6039999999999992</v>
      </c>
      <c r="O32">
        <v>4.9610000000000021</v>
      </c>
      <c r="Q32">
        <v>5.2390000000000008</v>
      </c>
      <c r="R32">
        <v>0.33021053889904706</v>
      </c>
    </row>
    <row r="33" spans="2:18">
      <c r="B33" t="s">
        <v>221</v>
      </c>
      <c r="C33" t="s">
        <v>221</v>
      </c>
      <c r="D33" t="s">
        <v>220</v>
      </c>
      <c r="E33">
        <v>28.472000000000001</v>
      </c>
      <c r="F33">
        <v>28.673999999999999</v>
      </c>
      <c r="G33">
        <v>28.742999999999999</v>
      </c>
      <c r="I33">
        <v>22.581</v>
      </c>
      <c r="J33">
        <v>22.652999999999999</v>
      </c>
      <c r="K33">
        <v>22.369</v>
      </c>
      <c r="M33">
        <v>5.8910000000000018</v>
      </c>
      <c r="N33">
        <v>6.0210000000000008</v>
      </c>
      <c r="O33">
        <v>6.3739999999999988</v>
      </c>
      <c r="Q33">
        <v>6.0953333333333335</v>
      </c>
      <c r="R33">
        <v>0.24993265759666655</v>
      </c>
    </row>
    <row r="34" spans="2:18">
      <c r="B34" t="s">
        <v>221</v>
      </c>
      <c r="C34" t="s">
        <v>221</v>
      </c>
      <c r="D34" t="s">
        <v>221</v>
      </c>
      <c r="E34">
        <v>26.844999999999999</v>
      </c>
      <c r="F34">
        <v>26.193999999999999</v>
      </c>
      <c r="G34">
        <v>26.373999999999999</v>
      </c>
      <c r="I34">
        <v>23.154</v>
      </c>
      <c r="J34">
        <v>23.934999999999999</v>
      </c>
      <c r="K34">
        <v>23.184000000000001</v>
      </c>
      <c r="M34">
        <v>3.6909999999999989</v>
      </c>
      <c r="N34">
        <v>2.2590000000000003</v>
      </c>
      <c r="O34">
        <v>3.1899999999999977</v>
      </c>
      <c r="Q34">
        <v>3.0466666666666655</v>
      </c>
      <c r="R34">
        <v>0.72668035155309607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zoomScale="59" zoomScaleNormal="59" workbookViewId="0"/>
  </sheetViews>
  <sheetFormatPr defaultRowHeight="15"/>
  <sheetData>
    <row r="1" spans="1:17">
      <c r="A1" t="s">
        <v>785</v>
      </c>
    </row>
    <row r="3" spans="1:17">
      <c r="A3" s="1" t="s">
        <v>261</v>
      </c>
      <c r="B3" s="1"/>
      <c r="C3" s="1"/>
      <c r="D3" s="1"/>
    </row>
    <row r="4" spans="1:17">
      <c r="G4" s="72"/>
      <c r="H4" s="73"/>
      <c r="I4" s="72"/>
      <c r="J4" s="73"/>
      <c r="K4" s="74"/>
      <c r="L4" s="75"/>
      <c r="M4" s="10"/>
      <c r="N4" s="76"/>
      <c r="O4" s="76"/>
      <c r="P4" s="77" t="s">
        <v>262</v>
      </c>
      <c r="Q4" s="76"/>
    </row>
    <row r="5" spans="1:17">
      <c r="B5">
        <v>1</v>
      </c>
      <c r="G5" s="72"/>
      <c r="H5" s="73"/>
      <c r="I5" s="72"/>
      <c r="J5" s="73"/>
      <c r="K5" s="74"/>
      <c r="L5" s="75"/>
      <c r="M5" s="10"/>
      <c r="N5" s="76"/>
      <c r="O5" s="76"/>
      <c r="P5" s="78"/>
      <c r="Q5" s="76"/>
    </row>
    <row r="6" spans="1:17">
      <c r="G6" s="72"/>
      <c r="H6" s="79" t="s">
        <v>263</v>
      </c>
      <c r="I6" s="80"/>
      <c r="J6" s="79" t="s">
        <v>264</v>
      </c>
      <c r="K6" s="74"/>
      <c r="L6" s="75"/>
      <c r="M6" s="10"/>
      <c r="N6" s="77" t="s">
        <v>265</v>
      </c>
      <c r="O6" s="76"/>
      <c r="P6" s="76"/>
      <c r="Q6" s="76"/>
    </row>
    <row r="7" spans="1:17">
      <c r="G7" s="72"/>
      <c r="H7" s="79" t="s">
        <v>266</v>
      </c>
      <c r="I7" s="80" t="s">
        <v>267</v>
      </c>
      <c r="J7" s="79" t="s">
        <v>268</v>
      </c>
      <c r="K7" s="74"/>
      <c r="L7" s="75"/>
      <c r="M7" s="10"/>
      <c r="N7" s="78"/>
      <c r="O7" s="76"/>
      <c r="P7" s="76"/>
      <c r="Q7" s="76"/>
    </row>
    <row r="8" spans="1:17">
      <c r="G8" s="81" t="s">
        <v>269</v>
      </c>
      <c r="H8" s="82" t="s">
        <v>270</v>
      </c>
      <c r="I8" s="81" t="s">
        <v>271</v>
      </c>
      <c r="J8" s="82" t="s">
        <v>272</v>
      </c>
      <c r="K8" s="74"/>
      <c r="L8" s="79" t="s">
        <v>273</v>
      </c>
      <c r="M8" s="77"/>
      <c r="N8" s="83"/>
      <c r="O8" s="83"/>
      <c r="P8" s="83"/>
      <c r="Q8" s="76"/>
    </row>
    <row r="9" spans="1:17">
      <c r="G9" s="80"/>
      <c r="H9" s="79"/>
      <c r="I9" s="80"/>
      <c r="J9" s="79"/>
      <c r="K9" s="74"/>
      <c r="L9" s="35"/>
      <c r="M9" s="78" t="s">
        <v>274</v>
      </c>
      <c r="N9" s="83"/>
      <c r="O9" s="78" t="s">
        <v>274</v>
      </c>
      <c r="P9" s="83"/>
      <c r="Q9" s="78" t="s">
        <v>274</v>
      </c>
    </row>
    <row r="10" spans="1:17" ht="15.75" thickBot="1">
      <c r="C10" s="1">
        <v>1</v>
      </c>
      <c r="D10" s="1" t="s">
        <v>256</v>
      </c>
      <c r="E10" s="1" t="s">
        <v>204</v>
      </c>
      <c r="F10" s="1" t="s">
        <v>218</v>
      </c>
      <c r="G10" s="84"/>
      <c r="H10" s="85"/>
      <c r="I10" s="84"/>
      <c r="J10" s="85"/>
      <c r="K10" s="86"/>
      <c r="L10" s="87" t="s">
        <v>272</v>
      </c>
      <c r="M10" s="88"/>
      <c r="N10" s="89" t="s">
        <v>275</v>
      </c>
      <c r="O10" s="90"/>
      <c r="P10" s="91" t="s">
        <v>276</v>
      </c>
      <c r="Q10" s="92"/>
    </row>
    <row r="11" spans="1:17">
      <c r="D11" t="s">
        <v>220</v>
      </c>
      <c r="E11" t="s">
        <v>220</v>
      </c>
      <c r="F11" t="s">
        <v>220</v>
      </c>
      <c r="G11" s="80">
        <v>0.35</v>
      </c>
      <c r="H11" s="79">
        <v>4.8</v>
      </c>
      <c r="I11" s="80">
        <v>94.3</v>
      </c>
      <c r="J11" s="79">
        <v>0.57999999999999996</v>
      </c>
      <c r="K11" s="93">
        <f t="shared" ref="K11" si="0">SUM(G11:J11)</f>
        <v>100.03</v>
      </c>
      <c r="L11" s="94">
        <f t="shared" ref="L11:L18" si="1">SUM(J11)</f>
        <v>0.57999999999999996</v>
      </c>
      <c r="M11" s="95"/>
      <c r="N11" s="96">
        <f t="shared" ref="N11:N18" si="2">SUM(H11,J11)</f>
        <v>5.38</v>
      </c>
      <c r="O11" s="80"/>
      <c r="P11" s="96">
        <f t="shared" ref="P11:P18" si="3">SUM(G11,H11,J11)</f>
        <v>5.7299999999999995</v>
      </c>
      <c r="Q11" s="80"/>
    </row>
    <row r="12" spans="1:17">
      <c r="D12" t="s">
        <v>220</v>
      </c>
      <c r="E12" t="s">
        <v>220</v>
      </c>
      <c r="F12" t="s">
        <v>220</v>
      </c>
      <c r="G12" s="80">
        <v>0.17</v>
      </c>
      <c r="H12" s="79">
        <v>4.8</v>
      </c>
      <c r="I12" s="80">
        <v>94.1</v>
      </c>
      <c r="J12" s="79">
        <v>0.93</v>
      </c>
      <c r="K12" s="93">
        <f>SUM(G12:J12)</f>
        <v>100</v>
      </c>
      <c r="L12" s="94">
        <f t="shared" si="1"/>
        <v>0.93</v>
      </c>
      <c r="M12" s="95"/>
      <c r="N12" s="96">
        <f t="shared" si="2"/>
        <v>5.7299999999999995</v>
      </c>
      <c r="O12" s="80"/>
      <c r="P12" s="96">
        <f t="shared" si="3"/>
        <v>5.8999999999999995</v>
      </c>
    </row>
    <row r="13" spans="1:17">
      <c r="D13" t="s">
        <v>221</v>
      </c>
      <c r="E13" t="s">
        <v>220</v>
      </c>
      <c r="F13" t="s">
        <v>220</v>
      </c>
      <c r="G13" s="80">
        <v>0.27</v>
      </c>
      <c r="H13" s="79">
        <v>6.41</v>
      </c>
      <c r="I13" s="80">
        <v>92.1</v>
      </c>
      <c r="J13" s="79">
        <v>1.18</v>
      </c>
      <c r="K13" s="93">
        <f t="shared" ref="K13" si="4">SUM(G13:J13)</f>
        <v>99.960000000000008</v>
      </c>
      <c r="L13" s="94">
        <f t="shared" si="1"/>
        <v>1.18</v>
      </c>
      <c r="M13" s="95"/>
      <c r="N13" s="96">
        <f t="shared" si="2"/>
        <v>7.59</v>
      </c>
      <c r="O13" s="80"/>
      <c r="P13" s="96">
        <f t="shared" si="3"/>
        <v>7.8599999999999994</v>
      </c>
    </row>
    <row r="14" spans="1:17">
      <c r="D14" t="s">
        <v>221</v>
      </c>
      <c r="E14" t="s">
        <v>220</v>
      </c>
      <c r="F14" t="s">
        <v>220</v>
      </c>
      <c r="G14" s="80">
        <v>0.88</v>
      </c>
      <c r="H14" s="79">
        <v>10.7</v>
      </c>
      <c r="I14" s="80">
        <v>67.599999999999994</v>
      </c>
      <c r="J14" s="79">
        <v>20.9</v>
      </c>
      <c r="K14" s="93">
        <f t="shared" ref="K14:K17" si="5">SUM(G14:J14)</f>
        <v>100.07999999999998</v>
      </c>
      <c r="L14" s="94">
        <f t="shared" si="1"/>
        <v>20.9</v>
      </c>
      <c r="M14" s="95"/>
      <c r="N14" s="96">
        <f t="shared" si="2"/>
        <v>31.599999999999998</v>
      </c>
      <c r="O14" s="80"/>
      <c r="P14" s="96">
        <f t="shared" si="3"/>
        <v>32.479999999999997</v>
      </c>
    </row>
    <row r="15" spans="1:17">
      <c r="D15" t="s">
        <v>220</v>
      </c>
      <c r="E15" t="s">
        <v>221</v>
      </c>
      <c r="F15" t="s">
        <v>220</v>
      </c>
      <c r="G15" s="80">
        <v>0.36</v>
      </c>
      <c r="H15" s="79">
        <v>5.15</v>
      </c>
      <c r="I15" s="80">
        <v>93.6</v>
      </c>
      <c r="J15" s="79">
        <v>0.86</v>
      </c>
      <c r="K15" s="93">
        <f t="shared" si="5"/>
        <v>99.97</v>
      </c>
      <c r="L15" s="94">
        <f t="shared" si="1"/>
        <v>0.86</v>
      </c>
      <c r="M15" s="95"/>
      <c r="N15" s="96">
        <f t="shared" si="2"/>
        <v>6.0100000000000007</v>
      </c>
      <c r="O15" s="80"/>
      <c r="P15" s="96">
        <f t="shared" si="3"/>
        <v>6.370000000000001</v>
      </c>
    </row>
    <row r="16" spans="1:17">
      <c r="D16" t="s">
        <v>220</v>
      </c>
      <c r="E16" t="s">
        <v>221</v>
      </c>
      <c r="F16" t="s">
        <v>220</v>
      </c>
      <c r="G16" s="80">
        <v>1.23</v>
      </c>
      <c r="H16" s="79">
        <v>11.1</v>
      </c>
      <c r="I16" s="80">
        <v>66.8</v>
      </c>
      <c r="J16" s="79">
        <v>20.9</v>
      </c>
      <c r="K16" s="93">
        <f t="shared" si="5"/>
        <v>100.03</v>
      </c>
      <c r="L16" s="94">
        <f t="shared" si="1"/>
        <v>20.9</v>
      </c>
      <c r="M16" s="95"/>
      <c r="N16" s="96">
        <f t="shared" si="2"/>
        <v>32</v>
      </c>
      <c r="O16" s="80"/>
      <c r="P16" s="96">
        <f t="shared" si="3"/>
        <v>33.229999999999997</v>
      </c>
    </row>
    <row r="17" spans="2:17">
      <c r="D17" t="s">
        <v>221</v>
      </c>
      <c r="E17" t="s">
        <v>221</v>
      </c>
      <c r="F17" t="s">
        <v>220</v>
      </c>
      <c r="G17" s="80">
        <v>1.6</v>
      </c>
      <c r="H17" s="79">
        <v>14.2</v>
      </c>
      <c r="I17" s="80">
        <v>65.7</v>
      </c>
      <c r="J17" s="44">
        <v>18.5</v>
      </c>
      <c r="K17" s="93">
        <f t="shared" si="5"/>
        <v>100</v>
      </c>
      <c r="L17" s="94">
        <f t="shared" si="1"/>
        <v>18.5</v>
      </c>
      <c r="M17" s="95"/>
      <c r="N17" s="96">
        <f t="shared" si="2"/>
        <v>32.700000000000003</v>
      </c>
      <c r="O17" s="80"/>
      <c r="P17" s="96">
        <f t="shared" si="3"/>
        <v>34.299999999999997</v>
      </c>
    </row>
    <row r="18" spans="2:17">
      <c r="D18" t="s">
        <v>221</v>
      </c>
      <c r="E18" t="s">
        <v>221</v>
      </c>
      <c r="F18" t="s">
        <v>221</v>
      </c>
      <c r="G18" s="80">
        <v>0.27</v>
      </c>
      <c r="H18" s="79">
        <v>6.41</v>
      </c>
      <c r="I18" s="80">
        <v>92.1</v>
      </c>
      <c r="J18" s="79">
        <v>1.18</v>
      </c>
      <c r="K18" s="93">
        <f t="shared" ref="K18" si="6">SUM(G18:J18)</f>
        <v>99.960000000000008</v>
      </c>
      <c r="L18" s="94">
        <f t="shared" si="1"/>
        <v>1.18</v>
      </c>
      <c r="M18" s="95"/>
      <c r="N18" s="96">
        <f t="shared" si="2"/>
        <v>7.59</v>
      </c>
      <c r="O18" s="80"/>
      <c r="P18" s="96">
        <f t="shared" si="3"/>
        <v>7.8599999999999994</v>
      </c>
    </row>
    <row r="21" spans="2:17">
      <c r="G21" s="72"/>
      <c r="H21" s="73"/>
      <c r="I21" s="72"/>
      <c r="J21" s="73"/>
      <c r="K21" s="74"/>
      <c r="L21" s="75"/>
      <c r="M21" s="10"/>
      <c r="N21" s="76"/>
      <c r="O21" s="76"/>
      <c r="P21" s="77" t="s">
        <v>262</v>
      </c>
      <c r="Q21" s="76"/>
    </row>
    <row r="22" spans="2:17">
      <c r="B22">
        <v>2</v>
      </c>
      <c r="G22" s="72"/>
      <c r="H22" s="73"/>
      <c r="I22" s="72"/>
      <c r="J22" s="73"/>
      <c r="K22" s="74"/>
      <c r="L22" s="75"/>
      <c r="M22" s="10"/>
      <c r="N22" s="76"/>
      <c r="O22" s="76"/>
      <c r="P22" s="78"/>
      <c r="Q22" s="76"/>
    </row>
    <row r="23" spans="2:17">
      <c r="G23" s="72"/>
      <c r="H23" s="79" t="s">
        <v>263</v>
      </c>
      <c r="I23" s="80"/>
      <c r="J23" s="79" t="s">
        <v>264</v>
      </c>
      <c r="K23" s="74"/>
      <c r="L23" s="75"/>
      <c r="M23" s="10"/>
      <c r="N23" s="77" t="s">
        <v>265</v>
      </c>
      <c r="O23" s="76"/>
      <c r="P23" s="76"/>
      <c r="Q23" s="76"/>
    </row>
    <row r="24" spans="2:17">
      <c r="G24" s="72"/>
      <c r="H24" s="79" t="s">
        <v>266</v>
      </c>
      <c r="I24" s="80" t="s">
        <v>267</v>
      </c>
      <c r="J24" s="79" t="s">
        <v>268</v>
      </c>
      <c r="K24" s="74"/>
      <c r="L24" s="75"/>
      <c r="M24" s="10"/>
      <c r="N24" s="78"/>
      <c r="O24" s="76"/>
      <c r="P24" s="76"/>
      <c r="Q24" s="76"/>
    </row>
    <row r="25" spans="2:17">
      <c r="G25" s="81" t="s">
        <v>269</v>
      </c>
      <c r="H25" s="82" t="s">
        <v>270</v>
      </c>
      <c r="I25" s="81" t="s">
        <v>271</v>
      </c>
      <c r="J25" s="82" t="s">
        <v>272</v>
      </c>
      <c r="K25" s="74"/>
      <c r="L25" s="79" t="s">
        <v>273</v>
      </c>
      <c r="M25" s="77"/>
      <c r="N25" s="83"/>
      <c r="O25" s="83"/>
      <c r="P25" s="83"/>
      <c r="Q25" s="76"/>
    </row>
    <row r="26" spans="2:17">
      <c r="G26" s="80"/>
      <c r="H26" s="79"/>
      <c r="I26" s="80"/>
      <c r="J26" s="79"/>
      <c r="K26" s="74"/>
      <c r="L26" s="35"/>
      <c r="M26" s="78" t="s">
        <v>274</v>
      </c>
      <c r="N26" s="83"/>
      <c r="O26" s="78" t="s">
        <v>274</v>
      </c>
      <c r="P26" s="83"/>
      <c r="Q26" s="78" t="s">
        <v>274</v>
      </c>
    </row>
    <row r="27" spans="2:17" ht="15.75" thickBot="1">
      <c r="C27" s="1">
        <v>1</v>
      </c>
      <c r="D27" s="1" t="s">
        <v>256</v>
      </c>
      <c r="E27" s="1" t="s">
        <v>204</v>
      </c>
      <c r="F27" s="1" t="s">
        <v>218</v>
      </c>
      <c r="G27" s="84"/>
      <c r="H27" s="85"/>
      <c r="I27" s="84"/>
      <c r="J27" s="85"/>
      <c r="K27" s="86"/>
      <c r="L27" s="87" t="s">
        <v>272</v>
      </c>
      <c r="M27" s="88"/>
      <c r="N27" s="89" t="s">
        <v>275</v>
      </c>
      <c r="O27" s="90"/>
      <c r="P27" s="91" t="s">
        <v>276</v>
      </c>
      <c r="Q27" s="92"/>
    </row>
    <row r="28" spans="2:17">
      <c r="D28" t="s">
        <v>220</v>
      </c>
      <c r="E28" t="s">
        <v>220</v>
      </c>
      <c r="F28" t="s">
        <v>220</v>
      </c>
      <c r="G28" s="80">
        <v>0.3</v>
      </c>
      <c r="H28" s="79">
        <v>4.2</v>
      </c>
      <c r="I28" s="80">
        <v>94.9</v>
      </c>
      <c r="J28" s="79">
        <v>0.6</v>
      </c>
      <c r="K28" s="93">
        <f t="shared" ref="K28:K29" si="7">SUM(G28:J28)</f>
        <v>100</v>
      </c>
      <c r="L28" s="94">
        <f t="shared" ref="L28:L35" si="8">SUM(J28)</f>
        <v>0.6</v>
      </c>
      <c r="M28" s="95"/>
      <c r="N28" s="96">
        <f t="shared" ref="N28:N35" si="9">SUM(H28,J28)</f>
        <v>4.8</v>
      </c>
      <c r="O28" s="80"/>
      <c r="P28" s="96">
        <f t="shared" ref="P28:P35" si="10">SUM(G28,H28,J28)</f>
        <v>5.0999999999999996</v>
      </c>
      <c r="Q28" s="80"/>
    </row>
    <row r="29" spans="2:17">
      <c r="D29" t="s">
        <v>220</v>
      </c>
      <c r="E29" t="s">
        <v>220</v>
      </c>
      <c r="F29" t="s">
        <v>220</v>
      </c>
      <c r="G29" s="80">
        <v>0.17</v>
      </c>
      <c r="H29" s="79">
        <v>4.99</v>
      </c>
      <c r="I29" s="80">
        <v>93.7</v>
      </c>
      <c r="J29" s="79">
        <v>1.1200000000000001</v>
      </c>
      <c r="K29" s="93">
        <f t="shared" si="7"/>
        <v>99.98</v>
      </c>
      <c r="L29" s="94">
        <f t="shared" si="8"/>
        <v>1.1200000000000001</v>
      </c>
      <c r="M29" s="95"/>
      <c r="N29" s="96">
        <f t="shared" si="9"/>
        <v>6.11</v>
      </c>
      <c r="O29" s="80"/>
      <c r="P29" s="96">
        <f t="shared" si="10"/>
        <v>6.28</v>
      </c>
    </row>
    <row r="30" spans="2:17">
      <c r="D30" t="s">
        <v>221</v>
      </c>
      <c r="E30" t="s">
        <v>220</v>
      </c>
      <c r="F30" t="s">
        <v>220</v>
      </c>
      <c r="G30" s="80">
        <v>0.36</v>
      </c>
      <c r="H30" s="79">
        <v>6.82</v>
      </c>
      <c r="I30" s="80">
        <v>91.7</v>
      </c>
      <c r="J30" s="79">
        <v>1.1399999999999999</v>
      </c>
      <c r="K30" s="93">
        <f t="shared" ref="K30:K35" si="11">SUM(G30:J30)</f>
        <v>100.02000000000001</v>
      </c>
      <c r="L30" s="94">
        <f t="shared" si="8"/>
        <v>1.1399999999999999</v>
      </c>
      <c r="M30" s="95"/>
      <c r="N30" s="96">
        <f t="shared" si="9"/>
        <v>7.96</v>
      </c>
      <c r="O30" s="80"/>
      <c r="P30" s="96">
        <f t="shared" si="10"/>
        <v>8.32</v>
      </c>
    </row>
    <row r="31" spans="2:17">
      <c r="D31" t="s">
        <v>221</v>
      </c>
      <c r="E31" t="s">
        <v>220</v>
      </c>
      <c r="F31" t="s">
        <v>220</v>
      </c>
      <c r="G31" s="80">
        <v>1.3</v>
      </c>
      <c r="H31" s="79">
        <v>12.8</v>
      </c>
      <c r="I31" s="80">
        <v>68.7</v>
      </c>
      <c r="J31" s="79">
        <v>17.2</v>
      </c>
      <c r="K31" s="93">
        <f t="shared" si="11"/>
        <v>100.00000000000001</v>
      </c>
      <c r="L31" s="94">
        <f t="shared" si="8"/>
        <v>17.2</v>
      </c>
      <c r="M31" s="95"/>
      <c r="N31" s="96">
        <f t="shared" si="9"/>
        <v>30</v>
      </c>
      <c r="O31" s="80"/>
      <c r="P31" s="96">
        <f t="shared" si="10"/>
        <v>31.3</v>
      </c>
    </row>
    <row r="32" spans="2:17">
      <c r="D32" t="s">
        <v>220</v>
      </c>
      <c r="E32" t="s">
        <v>221</v>
      </c>
      <c r="F32" t="s">
        <v>220</v>
      </c>
      <c r="G32" s="80">
        <v>0.28999999999999998</v>
      </c>
      <c r="H32" s="79">
        <v>5.5</v>
      </c>
      <c r="I32" s="80">
        <v>93.5</v>
      </c>
      <c r="J32" s="79">
        <v>0.72</v>
      </c>
      <c r="K32" s="93">
        <f t="shared" si="11"/>
        <v>100.01</v>
      </c>
      <c r="L32" s="94">
        <f t="shared" si="8"/>
        <v>0.72</v>
      </c>
      <c r="M32" s="95"/>
      <c r="N32" s="96">
        <f t="shared" si="9"/>
        <v>6.22</v>
      </c>
      <c r="O32" s="80"/>
      <c r="P32" s="96">
        <f t="shared" si="10"/>
        <v>6.51</v>
      </c>
    </row>
    <row r="33" spans="4:16">
      <c r="D33" t="s">
        <v>220</v>
      </c>
      <c r="E33" t="s">
        <v>221</v>
      </c>
      <c r="F33" t="s">
        <v>220</v>
      </c>
      <c r="G33" s="80">
        <v>1.1499999999999999</v>
      </c>
      <c r="H33" s="79">
        <v>12.9</v>
      </c>
      <c r="I33" s="80">
        <v>66.3</v>
      </c>
      <c r="J33" s="79">
        <v>19.7</v>
      </c>
      <c r="K33" s="93">
        <f t="shared" si="11"/>
        <v>100.05</v>
      </c>
      <c r="L33" s="94">
        <f t="shared" si="8"/>
        <v>19.7</v>
      </c>
      <c r="M33" s="95"/>
      <c r="N33" s="96">
        <f t="shared" si="9"/>
        <v>32.6</v>
      </c>
      <c r="O33" s="80"/>
      <c r="P33" s="96">
        <f t="shared" si="10"/>
        <v>33.75</v>
      </c>
    </row>
    <row r="34" spans="4:16">
      <c r="D34" t="s">
        <v>221</v>
      </c>
      <c r="E34" t="s">
        <v>221</v>
      </c>
      <c r="F34" t="s">
        <v>220</v>
      </c>
      <c r="G34" s="80">
        <v>0.69</v>
      </c>
      <c r="H34" s="79">
        <v>14.1</v>
      </c>
      <c r="I34" s="80">
        <v>65.8</v>
      </c>
      <c r="J34" s="79">
        <v>19.399999999999999</v>
      </c>
      <c r="K34" s="93">
        <f t="shared" si="11"/>
        <v>99.990000000000009</v>
      </c>
      <c r="L34" s="94">
        <f t="shared" si="8"/>
        <v>19.399999999999999</v>
      </c>
      <c r="M34" s="95"/>
      <c r="N34" s="96">
        <f t="shared" si="9"/>
        <v>33.5</v>
      </c>
      <c r="O34" s="80"/>
      <c r="P34" s="96">
        <f t="shared" si="10"/>
        <v>34.19</v>
      </c>
    </row>
    <row r="35" spans="4:16">
      <c r="D35" t="s">
        <v>221</v>
      </c>
      <c r="E35" t="s">
        <v>221</v>
      </c>
      <c r="F35" t="s">
        <v>221</v>
      </c>
      <c r="G35" s="80">
        <v>0.36</v>
      </c>
      <c r="H35" s="79">
        <v>6.82</v>
      </c>
      <c r="I35" s="80">
        <v>91.7</v>
      </c>
      <c r="J35" s="79">
        <v>1.1399999999999999</v>
      </c>
      <c r="K35" s="93">
        <f t="shared" si="11"/>
        <v>100.02000000000001</v>
      </c>
      <c r="L35" s="94">
        <f t="shared" si="8"/>
        <v>1.1399999999999999</v>
      </c>
      <c r="M35" s="95"/>
      <c r="N35" s="96">
        <f t="shared" si="9"/>
        <v>7.96</v>
      </c>
      <c r="O35" s="80"/>
      <c r="P35" s="96">
        <f t="shared" si="10"/>
        <v>8.32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41"/>
  <sheetViews>
    <sheetView topLeftCell="A2" zoomScale="48" zoomScaleNormal="48" workbookViewId="0">
      <selection activeCell="A2" sqref="A2"/>
    </sheetView>
  </sheetViews>
  <sheetFormatPr defaultRowHeight="15"/>
  <cols>
    <col min="1" max="1" width="58.28515625" customWidth="1"/>
  </cols>
  <sheetData>
    <row r="2" spans="1:29">
      <c r="A2" s="48" t="s">
        <v>786</v>
      </c>
    </row>
    <row r="4" spans="1:29">
      <c r="A4" t="s">
        <v>304</v>
      </c>
    </row>
    <row r="6" spans="1:29">
      <c r="A6" t="s">
        <v>305</v>
      </c>
    </row>
    <row r="8" spans="1:29">
      <c r="A8" t="s">
        <v>306</v>
      </c>
    </row>
    <row r="11" spans="1:29">
      <c r="B11" s="1" t="s">
        <v>307</v>
      </c>
      <c r="C11" s="1" t="s">
        <v>308</v>
      </c>
      <c r="D11" s="1" t="s">
        <v>309</v>
      </c>
      <c r="E11" s="1" t="s">
        <v>310</v>
      </c>
      <c r="F11" s="1" t="s">
        <v>307</v>
      </c>
      <c r="G11" s="1" t="s">
        <v>308</v>
      </c>
      <c r="H11" s="1" t="s">
        <v>309</v>
      </c>
      <c r="I11" s="1" t="s">
        <v>310</v>
      </c>
      <c r="J11" s="1" t="s">
        <v>307</v>
      </c>
      <c r="K11" s="1" t="s">
        <v>308</v>
      </c>
      <c r="L11" s="1" t="s">
        <v>309</v>
      </c>
      <c r="M11" s="1" t="s">
        <v>310</v>
      </c>
      <c r="Q11" s="1" t="s">
        <v>311</v>
      </c>
    </row>
    <row r="12" spans="1:29">
      <c r="A12" s="1" t="s">
        <v>318</v>
      </c>
      <c r="B12" s="1" t="s">
        <v>312</v>
      </c>
      <c r="C12" s="1"/>
      <c r="D12" s="1"/>
      <c r="E12" s="1"/>
      <c r="F12" s="1" t="s">
        <v>202</v>
      </c>
      <c r="G12" s="1"/>
      <c r="H12" s="1"/>
      <c r="I12" s="1"/>
      <c r="J12" s="1" t="s">
        <v>200</v>
      </c>
      <c r="Q12" s="1" t="s">
        <v>312</v>
      </c>
      <c r="R12" s="1"/>
      <c r="S12" s="1"/>
      <c r="T12" s="1"/>
      <c r="U12" s="1" t="s">
        <v>202</v>
      </c>
      <c r="V12" s="1"/>
      <c r="W12" s="1"/>
      <c r="X12" s="1"/>
      <c r="Y12" s="1" t="s">
        <v>200</v>
      </c>
    </row>
    <row r="13" spans="1:29">
      <c r="A13" s="35" t="s">
        <v>169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Q13">
        <v>0.23100000000000001</v>
      </c>
      <c r="R13">
        <v>0.23100000000000001</v>
      </c>
      <c r="S13">
        <v>0.23100000000000001</v>
      </c>
      <c r="T13">
        <v>0.154</v>
      </c>
      <c r="U13">
        <v>0.23100000000000001</v>
      </c>
      <c r="V13">
        <v>0.23100000000000001</v>
      </c>
      <c r="W13">
        <v>0.23100000000000001</v>
      </c>
      <c r="X13">
        <v>0.13800000000000001</v>
      </c>
      <c r="Y13">
        <v>0.253</v>
      </c>
      <c r="Z13">
        <v>0.219</v>
      </c>
      <c r="AA13">
        <v>0.161</v>
      </c>
      <c r="AB13">
        <v>0.154</v>
      </c>
      <c r="AC13">
        <v>0.13500000000000001</v>
      </c>
    </row>
    <row r="14" spans="1:29">
      <c r="A14" s="35" t="s">
        <v>170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Q14">
        <v>0.19800000000000001</v>
      </c>
      <c r="R14">
        <v>0.19800000000000001</v>
      </c>
      <c r="S14">
        <v>0.19800000000000001</v>
      </c>
      <c r="T14">
        <v>0.13300000000000001</v>
      </c>
      <c r="U14">
        <v>0.20100000000000001</v>
      </c>
      <c r="V14">
        <v>0.20100000000000001</v>
      </c>
      <c r="W14">
        <v>0.20100000000000001</v>
      </c>
      <c r="X14">
        <v>0.115</v>
      </c>
      <c r="Y14">
        <v>0.21099999999999999</v>
      </c>
      <c r="Z14">
        <v>0.21099999999999999</v>
      </c>
      <c r="AA14">
        <v>0.14299999999999999</v>
      </c>
      <c r="AB14">
        <v>0.126</v>
      </c>
      <c r="AC14">
        <v>0.15</v>
      </c>
    </row>
    <row r="15" spans="1:29">
      <c r="A15" s="35" t="s">
        <v>204</v>
      </c>
      <c r="B15">
        <v>23</v>
      </c>
      <c r="C15">
        <v>43</v>
      </c>
      <c r="D15">
        <v>31</v>
      </c>
      <c r="E15">
        <v>51</v>
      </c>
      <c r="F15">
        <v>61</v>
      </c>
      <c r="G15">
        <v>43</v>
      </c>
      <c r="H15">
        <v>33</v>
      </c>
      <c r="I15">
        <v>48</v>
      </c>
      <c r="J15">
        <v>71</v>
      </c>
      <c r="K15">
        <v>89</v>
      </c>
      <c r="L15">
        <v>54</v>
      </c>
      <c r="M15">
        <v>52</v>
      </c>
      <c r="Q15">
        <v>0.21099999999999999</v>
      </c>
      <c r="R15">
        <v>0.21099999999999999</v>
      </c>
      <c r="S15">
        <v>0.21099999999999999</v>
      </c>
      <c r="T15">
        <v>0.125</v>
      </c>
      <c r="U15">
        <v>0.189</v>
      </c>
      <c r="V15">
        <v>0.189</v>
      </c>
      <c r="W15">
        <v>0.189</v>
      </c>
      <c r="X15">
        <v>0.13400000000000001</v>
      </c>
      <c r="Y15">
        <v>0.19800000000000001</v>
      </c>
      <c r="Z15">
        <v>0.217</v>
      </c>
      <c r="AA15">
        <v>0.16300000000000001</v>
      </c>
      <c r="AB15">
        <v>0.21299999999999999</v>
      </c>
      <c r="AC15">
        <v>0.14699999999999999</v>
      </c>
    </row>
    <row r="16" spans="1:29">
      <c r="A16" s="35" t="s">
        <v>313</v>
      </c>
      <c r="B16">
        <v>19</v>
      </c>
      <c r="C16">
        <v>49</v>
      </c>
      <c r="D16">
        <v>33</v>
      </c>
      <c r="E16">
        <v>43</v>
      </c>
      <c r="F16">
        <v>13</v>
      </c>
      <c r="G16">
        <v>21</v>
      </c>
      <c r="H16">
        <v>33</v>
      </c>
      <c r="I16">
        <v>39</v>
      </c>
      <c r="J16">
        <v>256</v>
      </c>
      <c r="K16">
        <v>339</v>
      </c>
      <c r="L16">
        <v>536</v>
      </c>
      <c r="M16">
        <v>467</v>
      </c>
      <c r="Q16">
        <v>0.192</v>
      </c>
      <c r="R16">
        <v>0.192</v>
      </c>
      <c r="S16">
        <v>0.192</v>
      </c>
      <c r="T16">
        <v>0.125</v>
      </c>
      <c r="U16">
        <v>0.187</v>
      </c>
      <c r="V16">
        <v>0.187</v>
      </c>
      <c r="W16">
        <v>0.187</v>
      </c>
      <c r="X16">
        <v>0.14499999999999999</v>
      </c>
      <c r="Y16">
        <v>0.16700000000000001</v>
      </c>
      <c r="Z16">
        <v>0.17799999999999999</v>
      </c>
      <c r="AA16">
        <v>0.122</v>
      </c>
      <c r="AB16">
        <v>0.16200000000000001</v>
      </c>
      <c r="AC16">
        <v>0.16500000000000001</v>
      </c>
    </row>
    <row r="17" spans="1:29">
      <c r="A17" s="1"/>
    </row>
    <row r="18" spans="1:29">
      <c r="A18" s="1" t="s">
        <v>315</v>
      </c>
      <c r="O18" s="1" t="s">
        <v>314</v>
      </c>
      <c r="P18" s="1"/>
      <c r="Q18" s="1"/>
      <c r="R18" s="1"/>
    </row>
    <row r="19" spans="1:29">
      <c r="A19" s="35" t="s">
        <v>169</v>
      </c>
      <c r="B19">
        <f t="shared" ref="B19:M19" si="0">B13/0.5</f>
        <v>0</v>
      </c>
      <c r="C19">
        <f t="shared" si="0"/>
        <v>0</v>
      </c>
      <c r="D19">
        <f t="shared" si="0"/>
        <v>0</v>
      </c>
      <c r="E19">
        <f t="shared" si="0"/>
        <v>0</v>
      </c>
      <c r="F19">
        <f t="shared" si="0"/>
        <v>0</v>
      </c>
      <c r="G19">
        <f t="shared" si="0"/>
        <v>0</v>
      </c>
      <c r="H19">
        <f t="shared" si="0"/>
        <v>0</v>
      </c>
      <c r="I19">
        <f t="shared" si="0"/>
        <v>0</v>
      </c>
      <c r="J19">
        <f t="shared" si="0"/>
        <v>0</v>
      </c>
      <c r="K19">
        <f t="shared" si="0"/>
        <v>0</v>
      </c>
      <c r="L19">
        <f t="shared" si="0"/>
        <v>0</v>
      </c>
      <c r="M19">
        <f t="shared" si="0"/>
        <v>0</v>
      </c>
      <c r="Q19">
        <f t="shared" ref="Q19:AC19" si="1">Q13/1</f>
        <v>0.23100000000000001</v>
      </c>
      <c r="R19">
        <f t="shared" si="1"/>
        <v>0.23100000000000001</v>
      </c>
      <c r="S19">
        <f t="shared" si="1"/>
        <v>0.23100000000000001</v>
      </c>
      <c r="T19">
        <f t="shared" si="1"/>
        <v>0.154</v>
      </c>
      <c r="U19">
        <f t="shared" si="1"/>
        <v>0.23100000000000001</v>
      </c>
      <c r="V19">
        <f t="shared" si="1"/>
        <v>0.23100000000000001</v>
      </c>
      <c r="W19">
        <f t="shared" si="1"/>
        <v>0.23100000000000001</v>
      </c>
      <c r="X19">
        <f t="shared" si="1"/>
        <v>0.13800000000000001</v>
      </c>
      <c r="Y19">
        <f t="shared" si="1"/>
        <v>0.253</v>
      </c>
      <c r="Z19">
        <f t="shared" si="1"/>
        <v>0.219</v>
      </c>
      <c r="AA19">
        <f t="shared" si="1"/>
        <v>0.161</v>
      </c>
      <c r="AB19">
        <f t="shared" si="1"/>
        <v>0.154</v>
      </c>
      <c r="AC19">
        <f t="shared" si="1"/>
        <v>0.13500000000000001</v>
      </c>
    </row>
    <row r="20" spans="1:29">
      <c r="A20" s="35" t="s">
        <v>170</v>
      </c>
      <c r="B20">
        <f t="shared" ref="B20:M20" si="2">B14/0.5</f>
        <v>0</v>
      </c>
      <c r="C20">
        <f t="shared" si="2"/>
        <v>0</v>
      </c>
      <c r="D20">
        <f t="shared" si="2"/>
        <v>0</v>
      </c>
      <c r="E20">
        <f t="shared" si="2"/>
        <v>0</v>
      </c>
      <c r="F20">
        <f t="shared" si="2"/>
        <v>0</v>
      </c>
      <c r="G20">
        <f t="shared" si="2"/>
        <v>0</v>
      </c>
      <c r="H20">
        <f t="shared" si="2"/>
        <v>0</v>
      </c>
      <c r="I20">
        <f t="shared" si="2"/>
        <v>0</v>
      </c>
      <c r="J20">
        <f t="shared" si="2"/>
        <v>0</v>
      </c>
      <c r="K20">
        <f t="shared" si="2"/>
        <v>0</v>
      </c>
      <c r="L20">
        <f t="shared" si="2"/>
        <v>0</v>
      </c>
      <c r="M20">
        <f t="shared" si="2"/>
        <v>0</v>
      </c>
      <c r="Q20">
        <f t="shared" ref="Q20:AC20" si="3">Q14/1</f>
        <v>0.19800000000000001</v>
      </c>
      <c r="R20">
        <f t="shared" si="3"/>
        <v>0.19800000000000001</v>
      </c>
      <c r="S20">
        <f t="shared" si="3"/>
        <v>0.19800000000000001</v>
      </c>
      <c r="T20">
        <f t="shared" si="3"/>
        <v>0.13300000000000001</v>
      </c>
      <c r="U20">
        <f t="shared" si="3"/>
        <v>0.20100000000000001</v>
      </c>
      <c r="V20">
        <f t="shared" si="3"/>
        <v>0.20100000000000001</v>
      </c>
      <c r="W20">
        <f t="shared" si="3"/>
        <v>0.20100000000000001</v>
      </c>
      <c r="X20">
        <f t="shared" si="3"/>
        <v>0.115</v>
      </c>
      <c r="Y20">
        <f t="shared" si="3"/>
        <v>0.21099999999999999</v>
      </c>
      <c r="Z20">
        <f t="shared" si="3"/>
        <v>0.21099999999999999</v>
      </c>
      <c r="AA20">
        <f t="shared" si="3"/>
        <v>0.14299999999999999</v>
      </c>
      <c r="AB20">
        <f t="shared" si="3"/>
        <v>0.126</v>
      </c>
      <c r="AC20">
        <f t="shared" si="3"/>
        <v>0.15</v>
      </c>
    </row>
    <row r="21" spans="1:29">
      <c r="A21" s="35" t="s">
        <v>204</v>
      </c>
      <c r="B21">
        <f t="shared" ref="B21:M21" si="4">B15/0.5</f>
        <v>46</v>
      </c>
      <c r="C21">
        <f t="shared" si="4"/>
        <v>86</v>
      </c>
      <c r="D21">
        <f t="shared" si="4"/>
        <v>62</v>
      </c>
      <c r="E21">
        <f t="shared" si="4"/>
        <v>102</v>
      </c>
      <c r="F21">
        <f t="shared" si="4"/>
        <v>122</v>
      </c>
      <c r="G21">
        <f t="shared" si="4"/>
        <v>86</v>
      </c>
      <c r="H21">
        <f t="shared" si="4"/>
        <v>66</v>
      </c>
      <c r="I21">
        <f t="shared" si="4"/>
        <v>96</v>
      </c>
      <c r="J21">
        <f t="shared" si="4"/>
        <v>142</v>
      </c>
      <c r="K21">
        <f t="shared" si="4"/>
        <v>178</v>
      </c>
      <c r="L21">
        <f t="shared" si="4"/>
        <v>108</v>
      </c>
      <c r="M21">
        <f t="shared" si="4"/>
        <v>104</v>
      </c>
      <c r="Q21">
        <f t="shared" ref="Q21:AC21" si="5">Q15/1</f>
        <v>0.21099999999999999</v>
      </c>
      <c r="R21">
        <f t="shared" si="5"/>
        <v>0.21099999999999999</v>
      </c>
      <c r="S21">
        <f t="shared" si="5"/>
        <v>0.21099999999999999</v>
      </c>
      <c r="T21">
        <f t="shared" si="5"/>
        <v>0.125</v>
      </c>
      <c r="U21">
        <f t="shared" si="5"/>
        <v>0.189</v>
      </c>
      <c r="V21">
        <f t="shared" si="5"/>
        <v>0.189</v>
      </c>
      <c r="W21">
        <f t="shared" si="5"/>
        <v>0.189</v>
      </c>
      <c r="X21">
        <f t="shared" si="5"/>
        <v>0.13400000000000001</v>
      </c>
      <c r="Y21">
        <f t="shared" si="5"/>
        <v>0.19800000000000001</v>
      </c>
      <c r="Z21">
        <f t="shared" si="5"/>
        <v>0.217</v>
      </c>
      <c r="AA21">
        <f t="shared" si="5"/>
        <v>0.16300000000000001</v>
      </c>
      <c r="AB21">
        <f t="shared" si="5"/>
        <v>0.21299999999999999</v>
      </c>
      <c r="AC21">
        <f t="shared" si="5"/>
        <v>0.14699999999999999</v>
      </c>
    </row>
    <row r="22" spans="1:29">
      <c r="A22" s="35" t="s">
        <v>313</v>
      </c>
      <c r="B22">
        <f t="shared" ref="B22:M22" si="6">B16/0.5</f>
        <v>38</v>
      </c>
      <c r="C22">
        <f t="shared" si="6"/>
        <v>98</v>
      </c>
      <c r="D22">
        <f t="shared" si="6"/>
        <v>66</v>
      </c>
      <c r="E22">
        <f t="shared" si="6"/>
        <v>86</v>
      </c>
      <c r="F22">
        <f t="shared" si="6"/>
        <v>26</v>
      </c>
      <c r="G22">
        <f t="shared" si="6"/>
        <v>42</v>
      </c>
      <c r="H22">
        <f t="shared" si="6"/>
        <v>66</v>
      </c>
      <c r="I22">
        <f t="shared" si="6"/>
        <v>78</v>
      </c>
      <c r="J22">
        <f t="shared" si="6"/>
        <v>512</v>
      </c>
      <c r="K22">
        <f t="shared" si="6"/>
        <v>678</v>
      </c>
      <c r="L22">
        <f t="shared" si="6"/>
        <v>1072</v>
      </c>
      <c r="M22">
        <f t="shared" si="6"/>
        <v>934</v>
      </c>
      <c r="Q22">
        <f t="shared" ref="Q22:AC22" si="7">Q16/1</f>
        <v>0.192</v>
      </c>
      <c r="R22">
        <f t="shared" si="7"/>
        <v>0.192</v>
      </c>
      <c r="S22">
        <f t="shared" si="7"/>
        <v>0.192</v>
      </c>
      <c r="T22">
        <f t="shared" si="7"/>
        <v>0.125</v>
      </c>
      <c r="U22">
        <f t="shared" si="7"/>
        <v>0.187</v>
      </c>
      <c r="V22">
        <f t="shared" si="7"/>
        <v>0.187</v>
      </c>
      <c r="W22">
        <f t="shared" si="7"/>
        <v>0.187</v>
      </c>
      <c r="X22">
        <f t="shared" si="7"/>
        <v>0.14499999999999999</v>
      </c>
      <c r="Y22">
        <f t="shared" si="7"/>
        <v>0.16700000000000001</v>
      </c>
      <c r="Z22">
        <f t="shared" si="7"/>
        <v>0.17799999999999999</v>
      </c>
      <c r="AA22">
        <f t="shared" si="7"/>
        <v>0.122</v>
      </c>
      <c r="AB22">
        <f t="shared" si="7"/>
        <v>0.16200000000000001</v>
      </c>
      <c r="AC22">
        <f t="shared" si="7"/>
        <v>0.16500000000000001</v>
      </c>
    </row>
    <row r="24" spans="1:29">
      <c r="A24" s="1" t="s">
        <v>316</v>
      </c>
    </row>
    <row r="25" spans="1:29">
      <c r="A25" s="35" t="s">
        <v>169</v>
      </c>
      <c r="B25">
        <f t="shared" ref="B25:M25" si="8">B19*10000</f>
        <v>0</v>
      </c>
      <c r="C25">
        <f t="shared" si="8"/>
        <v>0</v>
      </c>
      <c r="D25">
        <f t="shared" si="8"/>
        <v>0</v>
      </c>
      <c r="E25">
        <f t="shared" si="8"/>
        <v>0</v>
      </c>
      <c r="F25">
        <f t="shared" si="8"/>
        <v>0</v>
      </c>
      <c r="G25">
        <f t="shared" si="8"/>
        <v>0</v>
      </c>
      <c r="H25">
        <f t="shared" si="8"/>
        <v>0</v>
      </c>
      <c r="I25">
        <f t="shared" si="8"/>
        <v>0</v>
      </c>
      <c r="J25">
        <f t="shared" si="8"/>
        <v>0</v>
      </c>
      <c r="K25">
        <f t="shared" si="8"/>
        <v>0</v>
      </c>
      <c r="L25">
        <f t="shared" si="8"/>
        <v>0</v>
      </c>
      <c r="M25">
        <f t="shared" si="8"/>
        <v>0</v>
      </c>
    </row>
    <row r="26" spans="1:29">
      <c r="A26" s="35" t="s">
        <v>170</v>
      </c>
      <c r="B26">
        <f t="shared" ref="B26:M26" si="9">B20*10000</f>
        <v>0</v>
      </c>
      <c r="C26">
        <f t="shared" si="9"/>
        <v>0</v>
      </c>
      <c r="D26">
        <f t="shared" si="9"/>
        <v>0</v>
      </c>
      <c r="E26">
        <f t="shared" si="9"/>
        <v>0</v>
      </c>
      <c r="F26">
        <f t="shared" si="9"/>
        <v>0</v>
      </c>
      <c r="G26">
        <f t="shared" si="9"/>
        <v>0</v>
      </c>
      <c r="H26">
        <f t="shared" si="9"/>
        <v>0</v>
      </c>
      <c r="I26">
        <f t="shared" si="9"/>
        <v>0</v>
      </c>
      <c r="J26">
        <f t="shared" si="9"/>
        <v>0</v>
      </c>
      <c r="K26">
        <f t="shared" si="9"/>
        <v>0</v>
      </c>
      <c r="L26">
        <f t="shared" si="9"/>
        <v>0</v>
      </c>
      <c r="M26">
        <f t="shared" si="9"/>
        <v>0</v>
      </c>
    </row>
    <row r="27" spans="1:29">
      <c r="A27" s="35" t="s">
        <v>204</v>
      </c>
      <c r="B27">
        <f t="shared" ref="B27:M27" si="10">B21*10000</f>
        <v>460000</v>
      </c>
      <c r="C27">
        <f t="shared" si="10"/>
        <v>860000</v>
      </c>
      <c r="D27">
        <f t="shared" si="10"/>
        <v>620000</v>
      </c>
      <c r="E27">
        <f t="shared" si="10"/>
        <v>1020000</v>
      </c>
      <c r="F27">
        <f t="shared" si="10"/>
        <v>1220000</v>
      </c>
      <c r="G27">
        <f t="shared" si="10"/>
        <v>860000</v>
      </c>
      <c r="H27">
        <f t="shared" si="10"/>
        <v>660000</v>
      </c>
      <c r="I27">
        <f t="shared" si="10"/>
        <v>960000</v>
      </c>
      <c r="J27">
        <f t="shared" si="10"/>
        <v>1420000</v>
      </c>
      <c r="K27">
        <f t="shared" si="10"/>
        <v>1780000</v>
      </c>
      <c r="L27">
        <f t="shared" si="10"/>
        <v>1080000</v>
      </c>
      <c r="M27">
        <f t="shared" si="10"/>
        <v>1040000</v>
      </c>
    </row>
    <row r="28" spans="1:29">
      <c r="A28" s="35" t="s">
        <v>313</v>
      </c>
      <c r="B28">
        <f t="shared" ref="B28:M28" si="11">B22*10000</f>
        <v>380000</v>
      </c>
      <c r="C28">
        <f t="shared" si="11"/>
        <v>980000</v>
      </c>
      <c r="D28">
        <f t="shared" si="11"/>
        <v>660000</v>
      </c>
      <c r="E28">
        <f t="shared" si="11"/>
        <v>860000</v>
      </c>
      <c r="F28">
        <f t="shared" si="11"/>
        <v>260000</v>
      </c>
      <c r="G28">
        <f t="shared" si="11"/>
        <v>420000</v>
      </c>
      <c r="H28">
        <f t="shared" si="11"/>
        <v>660000</v>
      </c>
      <c r="I28">
        <f t="shared" si="11"/>
        <v>780000</v>
      </c>
      <c r="J28">
        <f t="shared" si="11"/>
        <v>5120000</v>
      </c>
      <c r="K28">
        <f t="shared" si="11"/>
        <v>6780000</v>
      </c>
      <c r="L28">
        <f t="shared" si="11"/>
        <v>10720000</v>
      </c>
      <c r="M28">
        <f t="shared" si="11"/>
        <v>9340000</v>
      </c>
    </row>
    <row r="29" spans="1:29">
      <c r="A29" s="35"/>
    </row>
    <row r="30" spans="1:29">
      <c r="A30" s="35"/>
    </row>
    <row r="31" spans="1:29">
      <c r="A31" s="1" t="s">
        <v>317</v>
      </c>
    </row>
    <row r="32" spans="1:29">
      <c r="A32" s="35" t="s">
        <v>169</v>
      </c>
      <c r="B32">
        <f t="shared" ref="B32:M35" si="12">B25/Q19</f>
        <v>0</v>
      </c>
      <c r="C32">
        <f t="shared" si="12"/>
        <v>0</v>
      </c>
      <c r="D32">
        <f t="shared" si="12"/>
        <v>0</v>
      </c>
      <c r="E32">
        <f t="shared" si="12"/>
        <v>0</v>
      </c>
      <c r="F32">
        <f t="shared" si="12"/>
        <v>0</v>
      </c>
      <c r="G32">
        <f t="shared" si="12"/>
        <v>0</v>
      </c>
      <c r="H32">
        <f t="shared" si="12"/>
        <v>0</v>
      </c>
      <c r="I32">
        <f t="shared" si="12"/>
        <v>0</v>
      </c>
      <c r="J32">
        <f t="shared" si="12"/>
        <v>0</v>
      </c>
      <c r="K32">
        <f t="shared" si="12"/>
        <v>0</v>
      </c>
      <c r="L32">
        <f t="shared" si="12"/>
        <v>0</v>
      </c>
      <c r="M32">
        <f t="shared" si="12"/>
        <v>0</v>
      </c>
    </row>
    <row r="33" spans="1:13">
      <c r="A33" s="35" t="s">
        <v>170</v>
      </c>
      <c r="B33">
        <f t="shared" si="12"/>
        <v>0</v>
      </c>
      <c r="C33">
        <f t="shared" si="12"/>
        <v>0</v>
      </c>
      <c r="D33">
        <f t="shared" si="12"/>
        <v>0</v>
      </c>
      <c r="E33">
        <f t="shared" si="12"/>
        <v>0</v>
      </c>
      <c r="F33">
        <f t="shared" si="12"/>
        <v>0</v>
      </c>
      <c r="G33">
        <f t="shared" si="12"/>
        <v>0</v>
      </c>
      <c r="H33">
        <f t="shared" si="12"/>
        <v>0</v>
      </c>
      <c r="I33">
        <f t="shared" si="12"/>
        <v>0</v>
      </c>
      <c r="J33">
        <f t="shared" si="12"/>
        <v>0</v>
      </c>
      <c r="K33">
        <f t="shared" si="12"/>
        <v>0</v>
      </c>
      <c r="L33">
        <f t="shared" si="12"/>
        <v>0</v>
      </c>
      <c r="M33">
        <f t="shared" si="12"/>
        <v>0</v>
      </c>
    </row>
    <row r="34" spans="1:13">
      <c r="A34" s="35" t="s">
        <v>204</v>
      </c>
      <c r="B34">
        <f t="shared" si="12"/>
        <v>2180094.7867298578</v>
      </c>
      <c r="C34">
        <f t="shared" si="12"/>
        <v>4075829.3838862563</v>
      </c>
      <c r="D34">
        <f t="shared" si="12"/>
        <v>2938388.6255924171</v>
      </c>
      <c r="E34">
        <f t="shared" si="12"/>
        <v>8160000</v>
      </c>
      <c r="F34">
        <f t="shared" si="12"/>
        <v>6455026.4550264552</v>
      </c>
      <c r="G34">
        <f t="shared" si="12"/>
        <v>4550264.5502645504</v>
      </c>
      <c r="H34">
        <f t="shared" si="12"/>
        <v>3492063.4920634921</v>
      </c>
      <c r="I34">
        <f t="shared" si="12"/>
        <v>7164179.1044776114</v>
      </c>
      <c r="J34">
        <f t="shared" si="12"/>
        <v>7171717.1717171716</v>
      </c>
      <c r="K34">
        <f t="shared" si="12"/>
        <v>8202764.9769585254</v>
      </c>
      <c r="L34">
        <f t="shared" si="12"/>
        <v>6625766.8711656444</v>
      </c>
      <c r="M34">
        <f t="shared" si="12"/>
        <v>4882629.1079812208</v>
      </c>
    </row>
    <row r="35" spans="1:13">
      <c r="A35" s="35" t="s">
        <v>313</v>
      </c>
      <c r="B35">
        <f t="shared" si="12"/>
        <v>1979166.6666666665</v>
      </c>
      <c r="C35">
        <f t="shared" si="12"/>
        <v>5104166.666666667</v>
      </c>
      <c r="D35">
        <f t="shared" si="12"/>
        <v>3437500</v>
      </c>
      <c r="E35">
        <f t="shared" si="12"/>
        <v>6880000</v>
      </c>
      <c r="F35">
        <f t="shared" si="12"/>
        <v>1390374.3315508021</v>
      </c>
      <c r="G35">
        <f t="shared" si="12"/>
        <v>2245989.3048128341</v>
      </c>
      <c r="H35">
        <f t="shared" si="12"/>
        <v>3529411.7647058824</v>
      </c>
      <c r="I35">
        <f t="shared" si="12"/>
        <v>5379310.3448275868</v>
      </c>
      <c r="J35">
        <f t="shared" si="12"/>
        <v>30658682.634730536</v>
      </c>
      <c r="K35">
        <f t="shared" si="12"/>
        <v>38089887.640449442</v>
      </c>
      <c r="L35">
        <f t="shared" si="12"/>
        <v>87868852.459016398</v>
      </c>
      <c r="M35">
        <f t="shared" si="12"/>
        <v>57654320.987654321</v>
      </c>
    </row>
    <row r="37" spans="1:13">
      <c r="A37" s="1" t="s">
        <v>319</v>
      </c>
    </row>
    <row r="38" spans="1:13">
      <c r="A38" s="35" t="s">
        <v>169</v>
      </c>
      <c r="B38" t="e">
        <f t="shared" ref="B38:M38" si="13">LOG(B32)</f>
        <v>#NUM!</v>
      </c>
      <c r="C38" t="e">
        <f t="shared" si="13"/>
        <v>#NUM!</v>
      </c>
      <c r="D38" t="e">
        <f t="shared" si="13"/>
        <v>#NUM!</v>
      </c>
      <c r="E38" t="e">
        <f t="shared" si="13"/>
        <v>#NUM!</v>
      </c>
      <c r="F38" t="e">
        <f t="shared" si="13"/>
        <v>#NUM!</v>
      </c>
      <c r="G38" t="e">
        <f t="shared" si="13"/>
        <v>#NUM!</v>
      </c>
      <c r="H38" t="e">
        <f t="shared" si="13"/>
        <v>#NUM!</v>
      </c>
      <c r="I38" t="e">
        <f t="shared" si="13"/>
        <v>#NUM!</v>
      </c>
      <c r="J38" t="e">
        <f t="shared" si="13"/>
        <v>#NUM!</v>
      </c>
      <c r="K38" t="e">
        <f t="shared" si="13"/>
        <v>#NUM!</v>
      </c>
      <c r="L38" t="e">
        <f t="shared" si="13"/>
        <v>#NUM!</v>
      </c>
      <c r="M38" t="e">
        <f t="shared" si="13"/>
        <v>#NUM!</v>
      </c>
    </row>
    <row r="39" spans="1:13">
      <c r="A39" s="35" t="s">
        <v>170</v>
      </c>
      <c r="B39" t="e">
        <f t="shared" ref="B39:M39" si="14">LOG(B33)</f>
        <v>#NUM!</v>
      </c>
      <c r="C39" t="e">
        <f t="shared" si="14"/>
        <v>#NUM!</v>
      </c>
      <c r="D39" t="e">
        <f t="shared" si="14"/>
        <v>#NUM!</v>
      </c>
      <c r="E39" t="e">
        <f t="shared" si="14"/>
        <v>#NUM!</v>
      </c>
      <c r="F39" t="e">
        <f t="shared" si="14"/>
        <v>#NUM!</v>
      </c>
      <c r="G39" t="e">
        <f t="shared" si="14"/>
        <v>#NUM!</v>
      </c>
      <c r="H39" t="e">
        <f t="shared" si="14"/>
        <v>#NUM!</v>
      </c>
      <c r="I39" t="e">
        <f t="shared" si="14"/>
        <v>#NUM!</v>
      </c>
      <c r="J39" t="e">
        <f t="shared" si="14"/>
        <v>#NUM!</v>
      </c>
      <c r="K39" t="e">
        <f t="shared" si="14"/>
        <v>#NUM!</v>
      </c>
      <c r="L39" t="e">
        <f t="shared" si="14"/>
        <v>#NUM!</v>
      </c>
      <c r="M39" t="e">
        <f t="shared" si="14"/>
        <v>#NUM!</v>
      </c>
    </row>
    <row r="40" spans="1:13">
      <c r="A40" s="35" t="s">
        <v>204</v>
      </c>
      <c r="B40">
        <f t="shared" ref="B40:M40" si="15">LOG(B34)</f>
        <v>6.3384753763838813</v>
      </c>
      <c r="C40">
        <f t="shared" si="15"/>
        <v>6.6102159959458753</v>
      </c>
      <c r="D40">
        <f t="shared" si="15"/>
        <v>6.4681092342005613</v>
      </c>
      <c r="E40">
        <f t="shared" si="15"/>
        <v>6.9116901587538608</v>
      </c>
      <c r="F40">
        <f t="shared" si="15"/>
        <v>6.8098980265015037</v>
      </c>
      <c r="G40">
        <f t="shared" si="15"/>
        <v>6.6580366470703236</v>
      </c>
      <c r="H40">
        <f t="shared" si="15"/>
        <v>6.5430821313686245</v>
      </c>
      <c r="I40">
        <f t="shared" si="15"/>
        <v>6.8551664346747607</v>
      </c>
      <c r="J40">
        <f t="shared" si="15"/>
        <v>6.8556231541215258</v>
      </c>
      <c r="K40">
        <f t="shared" si="15"/>
        <v>6.9139602684603645</v>
      </c>
      <c r="L40">
        <f t="shared" si="15"/>
        <v>6.8212361510829922</v>
      </c>
      <c r="M40">
        <f t="shared" si="15"/>
        <v>6.6886537358600426</v>
      </c>
    </row>
    <row r="41" spans="1:13">
      <c r="A41" s="35" t="s">
        <v>313</v>
      </c>
      <c r="B41">
        <f t="shared" ref="B41:M41" si="16">LOG(B35)</f>
        <v>6.2964823679132609</v>
      </c>
      <c r="C41">
        <f t="shared" si="16"/>
        <v>6.707924846988945</v>
      </c>
      <c r="D41">
        <f t="shared" si="16"/>
        <v>6.5362427068383191</v>
      </c>
      <c r="E41">
        <f t="shared" si="16"/>
        <v>6.8375884382355112</v>
      </c>
      <c r="F41">
        <f t="shared" si="16"/>
        <v>6.1431317414343187</v>
      </c>
      <c r="G41">
        <f t="shared" si="16"/>
        <v>6.3514076838614013</v>
      </c>
      <c r="H41">
        <f t="shared" si="16"/>
        <v>6.5477023290053697</v>
      </c>
      <c r="I41">
        <f t="shared" si="16"/>
        <v>6.7307266004555055</v>
      </c>
      <c r="J41">
        <f t="shared" si="16"/>
        <v>7.4865534898282471</v>
      </c>
      <c r="K41">
        <f t="shared" si="16"/>
        <v>7.5808096915581693</v>
      </c>
      <c r="L41">
        <f t="shared" si="16"/>
        <v>7.9438349546820026</v>
      </c>
      <c r="M41">
        <f t="shared" si="16"/>
        <v>7.7608318616874623</v>
      </c>
    </row>
  </sheetData>
  <pageMargins left="0.7" right="0.7" top="0.75" bottom="0.75" header="0.3" footer="0.3"/>
  <pageSetup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Y53"/>
  <sheetViews>
    <sheetView zoomScale="70" zoomScaleNormal="70" workbookViewId="0">
      <selection activeCell="A3" sqref="A3"/>
    </sheetView>
  </sheetViews>
  <sheetFormatPr defaultRowHeight="15"/>
  <cols>
    <col min="1" max="1" width="22.140625" style="39" customWidth="1"/>
    <col min="2" max="6" width="9.140625" style="39"/>
  </cols>
  <sheetData>
    <row r="3" spans="1:12">
      <c r="A3" s="38" t="s">
        <v>787</v>
      </c>
    </row>
    <row r="4" spans="1:12">
      <c r="A4" s="38" t="s">
        <v>167</v>
      </c>
      <c r="B4" s="169" t="s">
        <v>206</v>
      </c>
      <c r="C4" s="169"/>
      <c r="E4" s="38" t="s">
        <v>171</v>
      </c>
    </row>
    <row r="5" spans="1:12">
      <c r="A5" s="39">
        <v>0</v>
      </c>
      <c r="B5" s="39">
        <v>8.5999999999999993E-2</v>
      </c>
      <c r="C5" s="39">
        <v>8.3000000000000004E-2</v>
      </c>
      <c r="E5" s="39">
        <f>AVERAGE(B5:C5)</f>
        <v>8.4499999999999992E-2</v>
      </c>
    </row>
    <row r="6" spans="1:12">
      <c r="A6" s="39">
        <v>0.31</v>
      </c>
      <c r="B6" s="39">
        <v>0.14899999999999999</v>
      </c>
      <c r="C6" s="39">
        <v>0.14199999999999999</v>
      </c>
      <c r="E6" s="39">
        <f t="shared" ref="E6:E12" si="0">AVERAGE(B6:C6)</f>
        <v>0.14549999999999999</v>
      </c>
    </row>
    <row r="7" spans="1:12">
      <c r="A7" s="39">
        <v>0.625</v>
      </c>
      <c r="B7" s="39">
        <v>0.19500000000000001</v>
      </c>
      <c r="C7" s="39">
        <v>0.193</v>
      </c>
      <c r="E7" s="39">
        <f t="shared" si="0"/>
        <v>0.19400000000000001</v>
      </c>
    </row>
    <row r="8" spans="1:12">
      <c r="A8" s="39">
        <v>1.25</v>
      </c>
      <c r="B8" s="39">
        <v>0.219</v>
      </c>
      <c r="C8" s="39">
        <v>0.29499999999999998</v>
      </c>
      <c r="E8" s="39">
        <f t="shared" si="0"/>
        <v>0.25700000000000001</v>
      </c>
    </row>
    <row r="9" spans="1:12">
      <c r="A9" s="39">
        <v>2.5</v>
      </c>
      <c r="B9" s="39">
        <v>0.59599999999999997</v>
      </c>
      <c r="C9" s="39">
        <v>0.54400000000000004</v>
      </c>
      <c r="E9" s="39">
        <f t="shared" si="0"/>
        <v>0.57000000000000006</v>
      </c>
    </row>
    <row r="10" spans="1:12">
      <c r="A10" s="39">
        <v>5</v>
      </c>
      <c r="B10" s="39">
        <v>1.214</v>
      </c>
      <c r="C10" s="39">
        <v>1.294</v>
      </c>
      <c r="E10" s="39">
        <f t="shared" si="0"/>
        <v>1.254</v>
      </c>
    </row>
    <row r="11" spans="1:12">
      <c r="A11" s="39">
        <v>10</v>
      </c>
      <c r="B11" s="39">
        <v>1.7889999999999999</v>
      </c>
      <c r="C11" s="39">
        <v>1.7949999999999999</v>
      </c>
      <c r="E11" s="39">
        <f t="shared" si="0"/>
        <v>1.7919999999999998</v>
      </c>
    </row>
    <row r="12" spans="1:12">
      <c r="A12" s="39">
        <v>20</v>
      </c>
      <c r="B12" s="39">
        <v>2.96</v>
      </c>
      <c r="C12" s="39">
        <v>2.93</v>
      </c>
      <c r="E12" s="39">
        <f t="shared" si="0"/>
        <v>2.9450000000000003</v>
      </c>
    </row>
    <row r="15" spans="1:12">
      <c r="A15" s="38" t="s">
        <v>201</v>
      </c>
      <c r="B15" s="179"/>
      <c r="C15" s="179"/>
      <c r="D15" s="179"/>
      <c r="E15" s="179"/>
      <c r="F15" s="179"/>
      <c r="G15" s="179"/>
      <c r="H15" s="179"/>
      <c r="I15" s="179"/>
      <c r="J15" s="179"/>
      <c r="K15" s="179"/>
      <c r="L15" s="179"/>
    </row>
    <row r="16" spans="1:12">
      <c r="A16" s="38"/>
      <c r="B16" s="179" t="s">
        <v>206</v>
      </c>
      <c r="C16" s="179"/>
      <c r="D16" s="179"/>
      <c r="E16" s="179"/>
      <c r="F16" s="179"/>
      <c r="G16" s="60"/>
      <c r="H16" s="179" t="s">
        <v>320</v>
      </c>
      <c r="I16" s="179"/>
      <c r="J16" s="179"/>
      <c r="K16" s="179"/>
      <c r="L16" s="179"/>
    </row>
    <row r="17" spans="1:25">
      <c r="A17" s="38" t="s">
        <v>169</v>
      </c>
      <c r="B17" s="39">
        <v>8.3900000000000002E-2</v>
      </c>
      <c r="C17" s="39">
        <v>9.8000000000000004E-2</v>
      </c>
      <c r="D17" s="39">
        <v>3.7999999999999999E-2</v>
      </c>
      <c r="E17" s="39">
        <v>0.193</v>
      </c>
      <c r="F17" s="39">
        <v>0.17399999999999999</v>
      </c>
      <c r="G17" s="39"/>
      <c r="H17" s="39">
        <f>((B17-0.193)/0.1552)</f>
        <v>-0.70296391752577314</v>
      </c>
      <c r="I17" s="39">
        <f t="shared" ref="I17:L20" si="1">((C17-0.193)/0.1552)</f>
        <v>-0.6121134020618556</v>
      </c>
      <c r="J17" s="39">
        <f t="shared" si="1"/>
        <v>-0.99871134020618557</v>
      </c>
      <c r="K17" s="39">
        <f t="shared" si="1"/>
        <v>0</v>
      </c>
      <c r="L17" s="39">
        <f t="shared" si="1"/>
        <v>-0.12242268041237124</v>
      </c>
      <c r="P17" s="40"/>
      <c r="Q17" s="40"/>
      <c r="R17" s="40"/>
      <c r="S17" s="40"/>
      <c r="T17" s="40"/>
      <c r="U17" s="40"/>
      <c r="V17" s="40"/>
      <c r="W17" s="40"/>
      <c r="X17" s="40"/>
      <c r="Y17" s="40"/>
    </row>
    <row r="18" spans="1:25">
      <c r="A18" s="38" t="s">
        <v>170</v>
      </c>
      <c r="B18" s="39">
        <v>0.1938</v>
      </c>
      <c r="C18" s="39">
        <v>3.7999999999999999E-2</v>
      </c>
      <c r="D18" s="39">
        <v>4.8000000000000001E-2</v>
      </c>
      <c r="E18" s="39">
        <v>1.9E-2</v>
      </c>
      <c r="F18" s="39">
        <v>1.2E-2</v>
      </c>
      <c r="G18" s="39"/>
      <c r="H18" s="39">
        <f t="shared" ref="H18:H20" si="2">((B18-0.193)/0.1552)</f>
        <v>5.1546391752577006E-3</v>
      </c>
      <c r="I18" s="39">
        <f t="shared" si="1"/>
        <v>-0.99871134020618557</v>
      </c>
      <c r="J18" s="39">
        <f t="shared" si="1"/>
        <v>-0.93427835051546404</v>
      </c>
      <c r="K18" s="39">
        <f t="shared" si="1"/>
        <v>-1.1211340206185567</v>
      </c>
      <c r="L18" s="39">
        <f t="shared" si="1"/>
        <v>-1.1662371134020617</v>
      </c>
      <c r="P18" s="40"/>
      <c r="Q18" s="40"/>
      <c r="R18" s="40"/>
      <c r="S18" s="40"/>
      <c r="T18" s="40"/>
      <c r="U18" s="40"/>
      <c r="V18" s="40"/>
      <c r="W18" s="40"/>
      <c r="X18" s="40"/>
      <c r="Y18" s="40"/>
    </row>
    <row r="19" spans="1:25">
      <c r="A19" s="38" t="s">
        <v>172</v>
      </c>
      <c r="B19" s="39">
        <v>1.4750000000000001</v>
      </c>
      <c r="C19" s="39">
        <v>1.6819999999999999</v>
      </c>
      <c r="D19" s="39">
        <v>1.2290000000000001</v>
      </c>
      <c r="E19" s="39">
        <v>1.8919999999999999</v>
      </c>
      <c r="F19" s="39">
        <v>1.984</v>
      </c>
      <c r="G19" s="39"/>
      <c r="H19" s="39">
        <f t="shared" si="2"/>
        <v>8.2603092783505154</v>
      </c>
      <c r="I19" s="39">
        <f t="shared" si="1"/>
        <v>9.5940721649484519</v>
      </c>
      <c r="J19" s="39">
        <f t="shared" si="1"/>
        <v>6.6752577319587632</v>
      </c>
      <c r="K19" s="39">
        <f t="shared" si="1"/>
        <v>10.947164948453606</v>
      </c>
      <c r="L19" s="39">
        <f t="shared" si="1"/>
        <v>11.539948453608247</v>
      </c>
      <c r="P19" s="40"/>
      <c r="Q19" s="40"/>
      <c r="R19" s="40"/>
      <c r="S19" s="40"/>
      <c r="T19" s="40"/>
      <c r="U19" s="40"/>
      <c r="V19" s="40"/>
      <c r="W19" s="40"/>
      <c r="X19" s="40"/>
      <c r="Y19" s="40"/>
    </row>
    <row r="20" spans="1:25">
      <c r="A20" s="38" t="s">
        <v>173</v>
      </c>
      <c r="B20" s="39">
        <v>1.194</v>
      </c>
      <c r="C20" s="39">
        <v>1.33</v>
      </c>
      <c r="D20" s="39">
        <v>2.9529999999999998</v>
      </c>
      <c r="E20" s="39">
        <v>1.518</v>
      </c>
      <c r="F20" s="39">
        <v>2.294</v>
      </c>
      <c r="G20" s="39"/>
      <c r="H20" s="39">
        <f t="shared" si="2"/>
        <v>6.449742268041236</v>
      </c>
      <c r="I20" s="39">
        <f t="shared" si="1"/>
        <v>7.3260309278350517</v>
      </c>
      <c r="J20" s="39">
        <f t="shared" si="1"/>
        <v>17.783505154639172</v>
      </c>
      <c r="K20" s="39">
        <f t="shared" si="1"/>
        <v>8.5373711340206189</v>
      </c>
      <c r="L20" s="39">
        <f t="shared" si="1"/>
        <v>13.537371134020619</v>
      </c>
      <c r="P20" s="40"/>
      <c r="Q20" s="40"/>
      <c r="R20" s="40"/>
      <c r="S20" s="40"/>
      <c r="T20" s="40"/>
      <c r="U20" s="40"/>
      <c r="V20" s="40"/>
      <c r="W20" s="40"/>
      <c r="X20" s="40"/>
      <c r="Y20" s="40"/>
    </row>
    <row r="21" spans="1:25">
      <c r="A21" s="38"/>
      <c r="G21" s="39"/>
      <c r="H21" s="39"/>
      <c r="I21" s="39"/>
      <c r="J21" s="39"/>
      <c r="K21" s="39"/>
      <c r="P21" s="40"/>
      <c r="Q21" s="40"/>
      <c r="R21" s="40"/>
      <c r="S21" s="40"/>
      <c r="T21" s="40"/>
      <c r="U21" s="40"/>
      <c r="V21" s="40"/>
      <c r="W21" s="40"/>
      <c r="X21" s="40"/>
      <c r="Y21" s="40"/>
    </row>
    <row r="22" spans="1:25">
      <c r="B22" s="179"/>
      <c r="C22" s="171"/>
      <c r="D22" s="171"/>
      <c r="E22" s="171"/>
      <c r="F22" s="171"/>
      <c r="G22" s="171"/>
      <c r="H22" s="171"/>
      <c r="I22" s="171"/>
      <c r="J22" s="171"/>
      <c r="K22" s="171"/>
    </row>
    <row r="23" spans="1:25">
      <c r="A23" s="38" t="s">
        <v>202</v>
      </c>
      <c r="B23" s="179"/>
      <c r="C23" s="179"/>
      <c r="D23" s="179"/>
      <c r="E23" s="179"/>
      <c r="F23" s="179"/>
      <c r="G23" s="179"/>
      <c r="H23" s="179"/>
      <c r="I23" s="179"/>
      <c r="J23" s="179"/>
      <c r="K23" s="179"/>
      <c r="L23" s="179"/>
    </row>
    <row r="24" spans="1:25">
      <c r="A24" s="38"/>
      <c r="B24" s="179" t="s">
        <v>206</v>
      </c>
      <c r="C24" s="179"/>
      <c r="D24" s="179"/>
      <c r="E24" s="179"/>
      <c r="F24" s="179"/>
      <c r="G24" s="60"/>
      <c r="H24" s="179" t="s">
        <v>320</v>
      </c>
      <c r="I24" s="179"/>
      <c r="J24" s="179"/>
      <c r="K24" s="179"/>
      <c r="L24" s="179"/>
    </row>
    <row r="25" spans="1:25">
      <c r="A25" s="38" t="s">
        <v>169</v>
      </c>
      <c r="B25" s="39">
        <v>9.9299999999999999E-2</v>
      </c>
      <c r="C25" s="39">
        <v>0.192</v>
      </c>
      <c r="D25" s="39">
        <v>0.184</v>
      </c>
      <c r="E25" s="39">
        <v>0.128</v>
      </c>
      <c r="F25" s="39">
        <v>0.31900000000000001</v>
      </c>
      <c r="G25" s="39"/>
      <c r="H25" s="39">
        <f>((B25-0.193)/0.1552)</f>
        <v>-0.60373711340206182</v>
      </c>
      <c r="I25" s="39">
        <f t="shared" ref="I25:L28" si="3">((C25-0.193)/0.1552)</f>
        <v>-6.4432989690721707E-3</v>
      </c>
      <c r="J25" s="39">
        <f t="shared" si="3"/>
        <v>-5.7989690721649535E-2</v>
      </c>
      <c r="K25" s="39">
        <f t="shared" si="3"/>
        <v>-0.41881443298969073</v>
      </c>
      <c r="L25" s="39">
        <f t="shared" si="3"/>
        <v>0.81185567010309279</v>
      </c>
    </row>
    <row r="26" spans="1:25">
      <c r="A26" s="38" t="s">
        <v>170</v>
      </c>
      <c r="B26" s="39">
        <v>8.4000000000000005E-2</v>
      </c>
      <c r="C26" s="39">
        <v>1.84E-2</v>
      </c>
      <c r="D26" s="39">
        <v>5.7000000000000002E-2</v>
      </c>
      <c r="E26" s="39">
        <v>4.3999999999999997E-2</v>
      </c>
      <c r="F26" s="39">
        <v>1.84E-2</v>
      </c>
      <c r="G26" s="39"/>
      <c r="H26" s="39">
        <f t="shared" ref="H26:H28" si="4">((B26-0.193)/0.1552)</f>
        <v>-0.70231958762886593</v>
      </c>
      <c r="I26" s="39">
        <f t="shared" si="3"/>
        <v>-1.125</v>
      </c>
      <c r="J26" s="39">
        <f t="shared" si="3"/>
        <v>-0.87628865979381443</v>
      </c>
      <c r="K26" s="39">
        <f t="shared" si="3"/>
        <v>-0.96005154639175272</v>
      </c>
      <c r="L26" s="39">
        <f t="shared" si="3"/>
        <v>-1.125</v>
      </c>
      <c r="M26" s="39"/>
    </row>
    <row r="27" spans="1:25">
      <c r="A27" s="38" t="s">
        <v>172</v>
      </c>
      <c r="B27" s="39">
        <v>2.1190000000000002</v>
      </c>
      <c r="C27" s="39">
        <v>2.4900000000000002</v>
      </c>
      <c r="D27" s="39">
        <v>2.1840000000000002</v>
      </c>
      <c r="E27" s="39">
        <v>1.784</v>
      </c>
      <c r="F27" s="39">
        <v>1.8420000000000001</v>
      </c>
      <c r="G27" s="39"/>
      <c r="H27" s="39">
        <f t="shared" si="4"/>
        <v>12.409793814432991</v>
      </c>
      <c r="I27" s="39">
        <f t="shared" si="3"/>
        <v>14.800257731958764</v>
      </c>
      <c r="J27" s="39">
        <f t="shared" si="3"/>
        <v>12.828608247422681</v>
      </c>
      <c r="K27" s="39">
        <f t="shared" si="3"/>
        <v>10.251288659793813</v>
      </c>
      <c r="L27" s="39">
        <f t="shared" si="3"/>
        <v>10.625</v>
      </c>
    </row>
    <row r="28" spans="1:25">
      <c r="A28" s="38" t="s">
        <v>173</v>
      </c>
      <c r="B28" s="39">
        <v>2.194</v>
      </c>
      <c r="C28" s="39">
        <v>1.1879999999999999</v>
      </c>
      <c r="D28" s="39">
        <v>2.7240000000000002</v>
      </c>
      <c r="E28" s="39">
        <v>2.7559999999999998</v>
      </c>
      <c r="F28" s="39">
        <v>2.948</v>
      </c>
      <c r="G28" s="39"/>
      <c r="H28" s="39">
        <f t="shared" si="4"/>
        <v>12.893041237113401</v>
      </c>
      <c r="I28" s="39">
        <f t="shared" si="3"/>
        <v>6.4110824742268031</v>
      </c>
      <c r="J28" s="39">
        <f t="shared" si="3"/>
        <v>16.307989690721651</v>
      </c>
      <c r="K28" s="39">
        <f t="shared" si="3"/>
        <v>16.514175257731956</v>
      </c>
      <c r="L28" s="39">
        <f t="shared" si="3"/>
        <v>17.751288659793815</v>
      </c>
    </row>
    <row r="30" spans="1:25">
      <c r="A30" s="38"/>
      <c r="G30" s="39"/>
      <c r="H30" s="39"/>
      <c r="I30" s="39"/>
      <c r="J30" s="39"/>
      <c r="K30" s="39"/>
    </row>
    <row r="31" spans="1:25">
      <c r="A31" s="38" t="s">
        <v>200</v>
      </c>
      <c r="B31" s="179"/>
      <c r="C31" s="179"/>
      <c r="D31" s="179"/>
      <c r="E31" s="179"/>
      <c r="F31" s="179"/>
      <c r="G31" s="179"/>
      <c r="H31" s="179"/>
      <c r="I31" s="179"/>
      <c r="J31" s="179"/>
      <c r="K31" s="179"/>
      <c r="L31" s="179"/>
    </row>
    <row r="32" spans="1:25">
      <c r="A32" s="38"/>
      <c r="B32" s="179" t="s">
        <v>206</v>
      </c>
      <c r="C32" s="179"/>
      <c r="D32" s="179"/>
      <c r="E32" s="179"/>
      <c r="F32" s="179"/>
      <c r="G32" s="60"/>
      <c r="H32" s="179" t="s">
        <v>320</v>
      </c>
      <c r="I32" s="179"/>
      <c r="J32" s="179"/>
      <c r="K32" s="179"/>
      <c r="L32" s="179"/>
    </row>
    <row r="33" spans="1:12">
      <c r="A33" s="38" t="s">
        <v>169</v>
      </c>
      <c r="B33" s="39">
        <v>9.1300000000000006E-2</v>
      </c>
      <c r="C33" s="39">
        <v>9.8000000000000004E-2</v>
      </c>
      <c r="D33" s="39">
        <v>0.13400000000000001</v>
      </c>
      <c r="E33" s="39">
        <v>0.42799999999999999</v>
      </c>
      <c r="F33" s="39">
        <v>0.32800000000000001</v>
      </c>
      <c r="G33" s="39"/>
      <c r="H33" s="39">
        <f>((B33-0.193)/0.1552)</f>
        <v>-0.65528350515463918</v>
      </c>
      <c r="I33" s="39">
        <f t="shared" ref="I33:L36" si="5">((C33-0.193)/0.1552)</f>
        <v>-0.6121134020618556</v>
      </c>
      <c r="J33" s="39">
        <f t="shared" si="5"/>
        <v>-0.38015463917525771</v>
      </c>
      <c r="K33" s="39">
        <f t="shared" si="5"/>
        <v>1.5141752577319587</v>
      </c>
      <c r="L33" s="39">
        <f t="shared" si="5"/>
        <v>0.86984536082474229</v>
      </c>
    </row>
    <row r="34" spans="1:12">
      <c r="A34" s="38" t="s">
        <v>170</v>
      </c>
      <c r="B34" s="39">
        <v>0.28100000000000003</v>
      </c>
      <c r="C34" s="58">
        <v>7.3999999999999996E-2</v>
      </c>
      <c r="D34" s="39">
        <v>4.8000000000000001E-2</v>
      </c>
      <c r="E34" s="39">
        <v>8.7999999999999995E-2</v>
      </c>
      <c r="F34" s="39">
        <v>7.4800000000000005E-2</v>
      </c>
      <c r="G34" s="39"/>
      <c r="H34" s="39">
        <f t="shared" ref="H34:H36" si="6">((B34-0.193)/0.1552)</f>
        <v>0.56701030927835061</v>
      </c>
      <c r="I34" s="39">
        <f t="shared" si="5"/>
        <v>-0.76675257731958768</v>
      </c>
      <c r="J34" s="39">
        <f t="shared" si="5"/>
        <v>-0.93427835051546404</v>
      </c>
      <c r="K34" s="39">
        <f t="shared" si="5"/>
        <v>-0.67654639175257736</v>
      </c>
      <c r="L34" s="39">
        <f t="shared" si="5"/>
        <v>-0.76159793814432986</v>
      </c>
    </row>
    <row r="35" spans="1:12">
      <c r="A35" s="38" t="s">
        <v>172</v>
      </c>
      <c r="B35" s="39">
        <v>1.4750000000000001</v>
      </c>
      <c r="C35" s="39">
        <v>2.75</v>
      </c>
      <c r="D35" s="39">
        <v>2.91</v>
      </c>
      <c r="E35" s="39">
        <v>3.42</v>
      </c>
      <c r="F35" s="39">
        <v>2.7850000000000001</v>
      </c>
      <c r="G35" s="39"/>
      <c r="H35" s="39">
        <f t="shared" si="6"/>
        <v>8.2603092783505154</v>
      </c>
      <c r="I35" s="39">
        <f t="shared" si="5"/>
        <v>16.475515463917525</v>
      </c>
      <c r="J35" s="39">
        <f t="shared" si="5"/>
        <v>17.506443298969071</v>
      </c>
      <c r="K35" s="39">
        <f t="shared" si="5"/>
        <v>20.792525773195877</v>
      </c>
      <c r="L35" s="39">
        <f t="shared" si="5"/>
        <v>16.701030927835053</v>
      </c>
    </row>
    <row r="36" spans="1:12">
      <c r="A36" s="38" t="s">
        <v>173</v>
      </c>
      <c r="B36" s="39">
        <v>3.4830000000000001</v>
      </c>
      <c r="C36" s="39">
        <v>3.1829999999999998</v>
      </c>
      <c r="D36" s="39">
        <v>3.85</v>
      </c>
      <c r="E36" s="39">
        <v>2.4300000000000002</v>
      </c>
      <c r="F36" s="39">
        <v>2.8490000000000002</v>
      </c>
      <c r="G36" s="39"/>
      <c r="H36" s="39">
        <f t="shared" si="6"/>
        <v>21.198453608247423</v>
      </c>
      <c r="I36" s="39">
        <f t="shared" si="5"/>
        <v>19.265463917525771</v>
      </c>
      <c r="J36" s="39">
        <f t="shared" si="5"/>
        <v>23.563144329896907</v>
      </c>
      <c r="K36" s="39">
        <f t="shared" si="5"/>
        <v>14.413659793814434</v>
      </c>
      <c r="L36" s="39">
        <f t="shared" si="5"/>
        <v>17.11340206185567</v>
      </c>
    </row>
    <row r="37" spans="1:12">
      <c r="A37" s="38"/>
      <c r="G37" s="39"/>
      <c r="H37" s="39"/>
      <c r="I37" s="39"/>
      <c r="J37" s="39"/>
      <c r="K37" s="39"/>
    </row>
    <row r="38" spans="1:12">
      <c r="A38" s="38"/>
      <c r="G38" s="39"/>
      <c r="H38" s="39"/>
      <c r="I38" s="39"/>
      <c r="J38" s="39"/>
      <c r="K38" s="39"/>
    </row>
    <row r="39" spans="1:12">
      <c r="A39" s="38"/>
      <c r="G39" s="39"/>
      <c r="H39" s="39"/>
      <c r="I39" s="39"/>
      <c r="J39" s="39"/>
      <c r="K39" s="39"/>
    </row>
    <row r="43" spans="1:12">
      <c r="A43" s="38"/>
      <c r="B43" s="179"/>
      <c r="C43" s="179"/>
      <c r="D43" s="179"/>
      <c r="E43" s="179"/>
      <c r="F43" s="179"/>
      <c r="G43" s="179"/>
      <c r="H43" s="179"/>
      <c r="I43" s="179"/>
      <c r="J43" s="179"/>
      <c r="K43" s="179"/>
      <c r="L43" s="179"/>
    </row>
    <row r="44" spans="1:12">
      <c r="A44" s="38"/>
      <c r="G44" s="39"/>
      <c r="H44" s="39"/>
      <c r="I44" s="39"/>
      <c r="J44" s="39"/>
      <c r="K44" s="39"/>
    </row>
    <row r="45" spans="1:12">
      <c r="A45" s="38"/>
      <c r="G45" s="39"/>
      <c r="H45" s="39"/>
      <c r="I45" s="39"/>
      <c r="J45" s="39"/>
      <c r="K45" s="39"/>
    </row>
    <row r="46" spans="1:12">
      <c r="A46" s="38"/>
      <c r="G46" s="39"/>
      <c r="H46" s="39"/>
      <c r="I46" s="39"/>
      <c r="J46" s="39"/>
      <c r="K46" s="39"/>
    </row>
    <row r="47" spans="1:12">
      <c r="A47" s="38"/>
      <c r="G47" s="39"/>
      <c r="H47" s="39"/>
      <c r="I47" s="39"/>
      <c r="J47" s="39"/>
      <c r="K47" s="39"/>
    </row>
    <row r="48" spans="1:12">
      <c r="A48" s="38"/>
      <c r="G48" s="39"/>
      <c r="H48" s="39"/>
      <c r="I48" s="39"/>
      <c r="J48" s="39"/>
      <c r="K48" s="39"/>
    </row>
    <row r="49" spans="1:11">
      <c r="B49" s="179"/>
      <c r="C49" s="171"/>
      <c r="D49" s="171"/>
      <c r="E49" s="171"/>
      <c r="F49" s="171"/>
      <c r="G49" s="171"/>
      <c r="H49" s="171"/>
      <c r="I49" s="171"/>
      <c r="J49" s="171"/>
      <c r="K49" s="171"/>
    </row>
    <row r="50" spans="1:11">
      <c r="A50" s="38"/>
      <c r="G50" s="39"/>
      <c r="H50" s="39"/>
      <c r="I50" s="39"/>
      <c r="J50" s="39"/>
      <c r="K50" s="39"/>
    </row>
    <row r="51" spans="1:11">
      <c r="A51" s="38"/>
      <c r="G51" s="39"/>
      <c r="H51" s="39"/>
      <c r="I51" s="39"/>
      <c r="J51" s="39"/>
      <c r="K51" s="39"/>
    </row>
    <row r="52" spans="1:11">
      <c r="A52" s="38"/>
      <c r="G52" s="39"/>
      <c r="H52" s="39"/>
      <c r="I52" s="39"/>
      <c r="J52" s="39"/>
      <c r="K52" s="39"/>
    </row>
    <row r="53" spans="1:11">
      <c r="A53" s="38"/>
      <c r="G53" s="39"/>
      <c r="H53" s="39"/>
      <c r="I53" s="39"/>
      <c r="J53" s="39"/>
      <c r="K53" s="39"/>
    </row>
  </sheetData>
  <mergeCells count="13">
    <mergeCell ref="B49:K49"/>
    <mergeCell ref="B24:F24"/>
    <mergeCell ref="H24:L24"/>
    <mergeCell ref="B31:L31"/>
    <mergeCell ref="B32:F32"/>
    <mergeCell ref="H32:L32"/>
    <mergeCell ref="B43:L43"/>
    <mergeCell ref="B23:L23"/>
    <mergeCell ref="B4:C4"/>
    <mergeCell ref="B15:L15"/>
    <mergeCell ref="B16:F16"/>
    <mergeCell ref="H16:L16"/>
    <mergeCell ref="B22:K22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Y50"/>
  <sheetViews>
    <sheetView workbookViewId="0">
      <selection activeCell="A3" sqref="A3"/>
    </sheetView>
  </sheetViews>
  <sheetFormatPr defaultRowHeight="15"/>
  <cols>
    <col min="1" max="1" width="28" style="39" customWidth="1"/>
    <col min="2" max="6" width="9.140625" style="39"/>
  </cols>
  <sheetData>
    <row r="3" spans="1:12">
      <c r="A3" s="38" t="s">
        <v>788</v>
      </c>
    </row>
    <row r="4" spans="1:12">
      <c r="A4" s="38" t="s">
        <v>327</v>
      </c>
      <c r="B4" s="169" t="s">
        <v>206</v>
      </c>
      <c r="C4" s="169"/>
      <c r="E4" s="38" t="s">
        <v>171</v>
      </c>
    </row>
    <row r="5" spans="1:12">
      <c r="A5" s="39">
        <v>0</v>
      </c>
      <c r="B5" s="39">
        <v>4.9000000000000002E-2</v>
      </c>
      <c r="C5" s="39">
        <v>4.7E-2</v>
      </c>
      <c r="E5" s="39">
        <f>AVERAGE(B5:C5)</f>
        <v>4.8000000000000001E-2</v>
      </c>
    </row>
    <row r="6" spans="1:12">
      <c r="A6" s="39">
        <v>0.31</v>
      </c>
      <c r="B6" s="39">
        <v>0.14099999999999999</v>
      </c>
      <c r="C6" s="39">
        <v>0.14299999999999999</v>
      </c>
      <c r="E6" s="39">
        <f t="shared" ref="E6:E12" si="0">AVERAGE(B6:C6)</f>
        <v>0.14199999999999999</v>
      </c>
    </row>
    <row r="7" spans="1:12">
      <c r="A7" s="39">
        <v>0.63</v>
      </c>
      <c r="B7" s="39">
        <v>0.221</v>
      </c>
      <c r="C7" s="39">
        <v>0.224</v>
      </c>
      <c r="E7" s="39">
        <f t="shared" si="0"/>
        <v>0.2225</v>
      </c>
    </row>
    <row r="8" spans="1:12">
      <c r="A8" s="39">
        <v>1.25</v>
      </c>
      <c r="B8" s="39">
        <v>0.31</v>
      </c>
      <c r="C8" s="39">
        <v>0.34</v>
      </c>
      <c r="E8" s="39">
        <f t="shared" si="0"/>
        <v>0.32500000000000001</v>
      </c>
    </row>
    <row r="9" spans="1:12">
      <c r="A9" s="39">
        <v>2.5</v>
      </c>
      <c r="B9" s="39">
        <v>0.621</v>
      </c>
      <c r="C9" s="39">
        <v>0.628</v>
      </c>
      <c r="E9" s="39">
        <f t="shared" si="0"/>
        <v>0.62450000000000006</v>
      </c>
    </row>
    <row r="10" spans="1:12">
      <c r="A10" s="39">
        <v>5</v>
      </c>
      <c r="B10" s="39">
        <v>1.33</v>
      </c>
      <c r="C10" s="39">
        <v>1.35</v>
      </c>
      <c r="E10" s="39">
        <f t="shared" si="0"/>
        <v>1.34</v>
      </c>
    </row>
    <row r="11" spans="1:12">
      <c r="A11" s="39">
        <v>10</v>
      </c>
      <c r="B11" s="39">
        <v>1.837</v>
      </c>
      <c r="C11" s="39">
        <v>1.855</v>
      </c>
      <c r="E11" s="39">
        <f t="shared" si="0"/>
        <v>1.8460000000000001</v>
      </c>
    </row>
    <row r="12" spans="1:12">
      <c r="A12" s="39">
        <v>20</v>
      </c>
      <c r="B12" s="39">
        <v>3.1930000000000001</v>
      </c>
      <c r="C12" s="39">
        <v>3.1179999999999999</v>
      </c>
      <c r="E12" s="39">
        <f t="shared" si="0"/>
        <v>3.1555</v>
      </c>
    </row>
    <row r="15" spans="1:12">
      <c r="A15" s="38"/>
      <c r="B15" s="179"/>
      <c r="C15" s="179"/>
      <c r="D15" s="179"/>
      <c r="E15" s="179"/>
      <c r="F15" s="179"/>
      <c r="G15" s="179"/>
      <c r="H15" s="179"/>
      <c r="I15" s="179"/>
      <c r="J15" s="179"/>
      <c r="K15" s="179"/>
      <c r="L15" s="179"/>
    </row>
    <row r="16" spans="1:12">
      <c r="A16" s="38" t="s">
        <v>326</v>
      </c>
      <c r="B16" s="179" t="s">
        <v>206</v>
      </c>
      <c r="C16" s="179"/>
      <c r="D16" s="179"/>
      <c r="E16" s="179"/>
      <c r="F16" s="179"/>
      <c r="G16" s="60"/>
      <c r="H16" s="179" t="s">
        <v>207</v>
      </c>
      <c r="I16" s="179"/>
      <c r="J16" s="179"/>
      <c r="K16" s="179"/>
      <c r="L16" s="179"/>
    </row>
    <row r="17" spans="1:25">
      <c r="A17" s="38">
        <v>0</v>
      </c>
      <c r="B17" s="39">
        <v>3.1960000000000002</v>
      </c>
      <c r="C17" s="39">
        <v>3.1190000000000002</v>
      </c>
      <c r="D17" s="39">
        <v>2.9580000000000002</v>
      </c>
      <c r="E17" s="39">
        <v>2.8639999999999999</v>
      </c>
      <c r="F17" s="39">
        <v>2.5539999999999998</v>
      </c>
      <c r="G17" s="39"/>
      <c r="H17" s="39">
        <f>((B17-0.193)/0.1552)</f>
        <v>19.349226804123713</v>
      </c>
      <c r="I17" s="39">
        <f t="shared" ref="I17:L27" si="1">((C17-0.193)/0.1552)</f>
        <v>18.853092783505154</v>
      </c>
      <c r="J17" s="39">
        <f t="shared" si="1"/>
        <v>17.815721649484537</v>
      </c>
      <c r="K17" s="39">
        <f t="shared" si="1"/>
        <v>17.21005154639175</v>
      </c>
      <c r="L17" s="39">
        <f t="shared" si="1"/>
        <v>15.212628865979379</v>
      </c>
      <c r="P17" s="40"/>
      <c r="Q17" s="40"/>
      <c r="R17" s="40"/>
      <c r="S17" s="40"/>
      <c r="T17" s="40"/>
      <c r="U17" s="40"/>
      <c r="V17" s="40"/>
      <c r="W17" s="40"/>
      <c r="X17" s="40"/>
      <c r="Y17" s="40"/>
    </row>
    <row r="18" spans="1:25">
      <c r="A18" s="38">
        <v>0.5</v>
      </c>
      <c r="B18" s="39">
        <v>2.8450000000000002</v>
      </c>
      <c r="C18" s="39">
        <v>2.3119999999999998</v>
      </c>
      <c r="D18" s="39">
        <v>2.512</v>
      </c>
      <c r="E18" s="39">
        <v>1.5860000000000001</v>
      </c>
      <c r="F18" s="39">
        <v>3.2839999999999998</v>
      </c>
      <c r="G18" s="39"/>
      <c r="H18" s="39">
        <f t="shared" ref="H18:H27" si="2">((B18-0.193)/0.1552)</f>
        <v>17.087628865979383</v>
      </c>
      <c r="I18" s="39">
        <f t="shared" si="1"/>
        <v>13.653350515463917</v>
      </c>
      <c r="J18" s="39">
        <f t="shared" si="1"/>
        <v>14.94201030927835</v>
      </c>
      <c r="K18" s="39">
        <f t="shared" si="1"/>
        <v>8.9755154639175263</v>
      </c>
      <c r="L18" s="39">
        <f t="shared" si="1"/>
        <v>19.916237113402058</v>
      </c>
      <c r="P18" s="40"/>
      <c r="Q18" s="40"/>
      <c r="R18" s="40"/>
      <c r="S18" s="40"/>
      <c r="T18" s="40"/>
      <c r="U18" s="40"/>
      <c r="V18" s="40"/>
      <c r="W18" s="40"/>
      <c r="X18" s="40"/>
      <c r="Y18" s="40"/>
    </row>
    <row r="19" spans="1:25">
      <c r="A19" s="38">
        <v>1</v>
      </c>
      <c r="B19" s="39">
        <v>2.3940000000000001</v>
      </c>
      <c r="C19" s="39">
        <v>3.1930000000000001</v>
      </c>
      <c r="D19" s="39">
        <v>1.2989999999999999</v>
      </c>
      <c r="E19" s="39">
        <v>1.6379999999999999</v>
      </c>
      <c r="F19" s="39">
        <v>1.3839999999999999</v>
      </c>
      <c r="G19" s="39"/>
      <c r="H19" s="39">
        <f t="shared" si="2"/>
        <v>14.181701030927835</v>
      </c>
      <c r="I19" s="39">
        <f t="shared" si="1"/>
        <v>19.329896907216494</v>
      </c>
      <c r="J19" s="39">
        <f t="shared" si="1"/>
        <v>7.1262886597938131</v>
      </c>
      <c r="K19" s="39">
        <f t="shared" si="1"/>
        <v>9.3105670103092777</v>
      </c>
      <c r="L19" s="39">
        <f t="shared" si="1"/>
        <v>7.6739690721649474</v>
      </c>
      <c r="P19" s="40"/>
      <c r="Q19" s="40"/>
      <c r="R19" s="40"/>
      <c r="S19" s="40"/>
      <c r="T19" s="40"/>
      <c r="U19" s="40"/>
      <c r="V19" s="40"/>
      <c r="W19" s="40"/>
      <c r="X19" s="40"/>
      <c r="Y19" s="40"/>
    </row>
    <row r="20" spans="1:25">
      <c r="A20" s="38">
        <v>1.5</v>
      </c>
      <c r="B20" s="39">
        <v>1.429</v>
      </c>
      <c r="C20" s="39">
        <v>2.3839999999999999</v>
      </c>
      <c r="D20" s="39">
        <v>3.29</v>
      </c>
      <c r="E20" s="39">
        <v>3.1120000000000001</v>
      </c>
      <c r="F20" s="39">
        <v>2.7480000000000002</v>
      </c>
      <c r="G20" s="39"/>
      <c r="H20" s="39">
        <f t="shared" si="2"/>
        <v>7.9639175257731951</v>
      </c>
      <c r="I20" s="39">
        <f t="shared" si="1"/>
        <v>14.117268041237113</v>
      </c>
      <c r="J20" s="39">
        <f t="shared" si="1"/>
        <v>19.954896907216494</v>
      </c>
      <c r="K20" s="39">
        <f t="shared" si="1"/>
        <v>18.807989690721648</v>
      </c>
      <c r="L20" s="39">
        <f t="shared" si="1"/>
        <v>16.462628865979383</v>
      </c>
      <c r="P20" s="40"/>
      <c r="Q20" s="40"/>
      <c r="R20" s="40"/>
      <c r="S20" s="40"/>
      <c r="T20" s="40"/>
      <c r="U20" s="40"/>
      <c r="V20" s="40"/>
      <c r="W20" s="40"/>
      <c r="X20" s="40"/>
      <c r="Y20" s="40"/>
    </row>
    <row r="21" spans="1:25">
      <c r="A21" s="38">
        <v>2</v>
      </c>
      <c r="B21" s="39">
        <v>2.3940000000000001</v>
      </c>
      <c r="C21" s="39">
        <v>2.44</v>
      </c>
      <c r="D21" s="39">
        <v>1.4279999999999999</v>
      </c>
      <c r="E21" s="39">
        <v>1.284</v>
      </c>
      <c r="F21" s="39">
        <v>2.93</v>
      </c>
      <c r="G21" s="39"/>
      <c r="H21" s="39">
        <f t="shared" si="2"/>
        <v>14.181701030927835</v>
      </c>
      <c r="I21" s="39">
        <f t="shared" si="1"/>
        <v>14.478092783505154</v>
      </c>
      <c r="J21" s="39">
        <f t="shared" si="1"/>
        <v>7.9574742268041225</v>
      </c>
      <c r="K21" s="39">
        <f t="shared" si="1"/>
        <v>7.0296391752577314</v>
      </c>
      <c r="L21" s="39">
        <f t="shared" si="1"/>
        <v>17.635309278350515</v>
      </c>
      <c r="P21" s="40"/>
      <c r="Q21" s="40"/>
      <c r="R21" s="40"/>
      <c r="S21" s="40"/>
      <c r="T21" s="40"/>
      <c r="U21" s="40"/>
      <c r="V21" s="40"/>
      <c r="W21" s="40"/>
      <c r="X21" s="40"/>
      <c r="Y21" s="40"/>
    </row>
    <row r="22" spans="1:25">
      <c r="A22" s="38">
        <v>2.5</v>
      </c>
      <c r="B22" s="39">
        <v>1.38</v>
      </c>
      <c r="C22" s="39">
        <v>1.228</v>
      </c>
      <c r="D22" s="39">
        <v>1.3839999999999999</v>
      </c>
      <c r="E22" s="39">
        <v>1.784</v>
      </c>
      <c r="F22" s="39">
        <v>2.843</v>
      </c>
      <c r="G22" s="39"/>
      <c r="H22" s="39">
        <f t="shared" si="2"/>
        <v>7.6481958762886588</v>
      </c>
      <c r="I22" s="39">
        <f t="shared" si="1"/>
        <v>6.6688144329896897</v>
      </c>
      <c r="J22" s="39">
        <f t="shared" si="1"/>
        <v>7.6739690721649474</v>
      </c>
      <c r="K22" s="39">
        <f t="shared" si="1"/>
        <v>10.251288659793813</v>
      </c>
      <c r="L22" s="39">
        <f t="shared" si="1"/>
        <v>17.074742268041238</v>
      </c>
    </row>
    <row r="23" spans="1:25">
      <c r="A23" s="38">
        <v>3</v>
      </c>
      <c r="B23" s="39">
        <v>1.218</v>
      </c>
      <c r="C23" s="39">
        <v>1.1140000000000001</v>
      </c>
      <c r="D23" s="39">
        <v>1.083</v>
      </c>
      <c r="E23" s="39">
        <v>0.89300000000000002</v>
      </c>
      <c r="F23" s="39">
        <v>0.93200000000000005</v>
      </c>
      <c r="G23" s="39"/>
      <c r="H23" s="39">
        <f t="shared" si="2"/>
        <v>6.6043814432989683</v>
      </c>
      <c r="I23" s="39">
        <f t="shared" si="1"/>
        <v>5.9342783505154637</v>
      </c>
      <c r="J23" s="39">
        <f t="shared" si="1"/>
        <v>5.734536082474226</v>
      </c>
      <c r="K23" s="39">
        <f t="shared" si="1"/>
        <v>4.5103092783505154</v>
      </c>
      <c r="L23" s="39">
        <f t="shared" si="1"/>
        <v>4.7615979381443303</v>
      </c>
      <c r="M23" s="39"/>
    </row>
    <row r="24" spans="1:25">
      <c r="A24" s="38">
        <v>3.5</v>
      </c>
      <c r="B24" s="39">
        <v>0.83399999999999996</v>
      </c>
      <c r="C24" s="39">
        <v>1.3120000000000001</v>
      </c>
      <c r="D24" s="39">
        <v>1.2210000000000001</v>
      </c>
      <c r="E24" s="39">
        <v>0.23499999999999999</v>
      </c>
      <c r="F24" s="39">
        <v>0.58299999999999996</v>
      </c>
      <c r="G24" s="39"/>
      <c r="H24" s="39">
        <f t="shared" si="2"/>
        <v>4.1301546391752577</v>
      </c>
      <c r="I24" s="39">
        <f t="shared" si="1"/>
        <v>7.2100515463917523</v>
      </c>
      <c r="J24" s="39">
        <f t="shared" si="1"/>
        <v>6.6237113402061851</v>
      </c>
      <c r="K24" s="39">
        <f t="shared" si="1"/>
        <v>0.2706185567010308</v>
      </c>
      <c r="L24" s="39">
        <f t="shared" si="1"/>
        <v>2.5128865979381438</v>
      </c>
    </row>
    <row r="25" spans="1:25">
      <c r="A25" s="38">
        <v>4</v>
      </c>
      <c r="B25" s="39">
        <v>0.873</v>
      </c>
      <c r="C25" s="39">
        <v>0.44700000000000001</v>
      </c>
      <c r="D25" s="39">
        <v>0.217</v>
      </c>
      <c r="E25" s="39">
        <v>0.71199999999999997</v>
      </c>
      <c r="F25" s="39">
        <v>0.52300000000000002</v>
      </c>
      <c r="G25" s="39"/>
      <c r="H25" s="39">
        <f t="shared" si="2"/>
        <v>4.3814432989690717</v>
      </c>
      <c r="I25" s="39">
        <f t="shared" si="1"/>
        <v>1.6365979381443299</v>
      </c>
      <c r="J25" s="39">
        <f t="shared" si="1"/>
        <v>0.15463917525773191</v>
      </c>
      <c r="K25" s="39">
        <f t="shared" si="1"/>
        <v>3.3440721649484528</v>
      </c>
      <c r="L25" s="39">
        <f t="shared" si="1"/>
        <v>2.1262886597938144</v>
      </c>
    </row>
    <row r="26" spans="1:25">
      <c r="A26" s="39">
        <v>4.5</v>
      </c>
      <c r="B26" s="39">
        <v>0.311</v>
      </c>
      <c r="C26" s="39">
        <v>0.32800000000000001</v>
      </c>
      <c r="D26" s="39">
        <v>0.36199999999999999</v>
      </c>
      <c r="E26" s="39">
        <v>1.173</v>
      </c>
      <c r="F26" s="39">
        <v>0.37319999999999998</v>
      </c>
      <c r="H26" s="39">
        <f t="shared" si="2"/>
        <v>0.76030927835051543</v>
      </c>
      <c r="I26" s="39">
        <f t="shared" si="1"/>
        <v>0.86984536082474229</v>
      </c>
      <c r="J26" s="39">
        <f t="shared" si="1"/>
        <v>1.0889175257731958</v>
      </c>
      <c r="K26" s="39">
        <f t="shared" si="1"/>
        <v>6.3144329896907214</v>
      </c>
      <c r="L26" s="39">
        <f t="shared" si="1"/>
        <v>1.161082474226804</v>
      </c>
    </row>
    <row r="27" spans="1:25">
      <c r="A27" s="38">
        <v>5</v>
      </c>
      <c r="B27" s="39">
        <v>0.44800000000000001</v>
      </c>
      <c r="C27" s="39">
        <v>0.29399999999999998</v>
      </c>
      <c r="D27" s="39">
        <v>0.76300000000000001</v>
      </c>
      <c r="E27" s="39">
        <v>0.32600000000000001</v>
      </c>
      <c r="F27" s="39">
        <v>0.52400000000000002</v>
      </c>
      <c r="G27" s="39"/>
      <c r="H27" s="39">
        <f t="shared" si="2"/>
        <v>1.643041237113402</v>
      </c>
      <c r="I27" s="39">
        <f t="shared" si="1"/>
        <v>0.65077319587628846</v>
      </c>
      <c r="J27" s="39">
        <f t="shared" si="1"/>
        <v>3.6726804123711343</v>
      </c>
      <c r="K27" s="39">
        <f t="shared" si="1"/>
        <v>0.856958762886598</v>
      </c>
      <c r="L27" s="39">
        <f t="shared" si="1"/>
        <v>2.1327319587628866</v>
      </c>
    </row>
    <row r="28" spans="1:25">
      <c r="A28" s="38"/>
      <c r="B28" s="179"/>
      <c r="C28" s="179"/>
      <c r="D28" s="179"/>
      <c r="E28" s="179"/>
      <c r="F28" s="179"/>
      <c r="G28" s="179"/>
      <c r="H28" s="179"/>
      <c r="I28" s="179"/>
      <c r="J28" s="179"/>
      <c r="K28" s="179"/>
      <c r="L28" s="179"/>
    </row>
    <row r="29" spans="1:25">
      <c r="A29" s="38"/>
      <c r="B29" s="179"/>
      <c r="C29" s="179"/>
      <c r="D29" s="179"/>
      <c r="E29" s="179"/>
      <c r="F29" s="179"/>
      <c r="G29" s="60"/>
      <c r="H29" s="179"/>
      <c r="I29" s="179"/>
      <c r="J29" s="179"/>
      <c r="K29" s="179"/>
      <c r="L29" s="179"/>
    </row>
    <row r="30" spans="1:25">
      <c r="A30" s="38"/>
      <c r="G30" s="39"/>
      <c r="H30" s="39"/>
      <c r="I30" s="39"/>
      <c r="J30" s="39"/>
      <c r="K30" s="39"/>
      <c r="L30" s="39"/>
    </row>
    <row r="31" spans="1:25">
      <c r="A31" s="38"/>
      <c r="C31" s="58"/>
      <c r="G31" s="39"/>
      <c r="H31" s="39"/>
      <c r="I31" s="39"/>
      <c r="J31" s="39"/>
      <c r="K31" s="39"/>
      <c r="L31" s="39"/>
    </row>
    <row r="32" spans="1:25">
      <c r="A32" s="38"/>
      <c r="G32" s="39"/>
      <c r="H32" s="39"/>
      <c r="I32" s="39"/>
      <c r="J32" s="39"/>
      <c r="K32" s="39"/>
      <c r="L32" s="39"/>
    </row>
    <row r="33" spans="1:12">
      <c r="A33" s="38"/>
      <c r="G33" s="39"/>
      <c r="H33" s="39"/>
      <c r="I33" s="39"/>
      <c r="J33" s="39"/>
      <c r="K33" s="39"/>
      <c r="L33" s="39"/>
    </row>
    <row r="34" spans="1:12">
      <c r="A34" s="38"/>
      <c r="G34" s="39"/>
      <c r="H34" s="39"/>
      <c r="I34" s="39"/>
      <c r="J34" s="39"/>
      <c r="K34" s="39"/>
    </row>
    <row r="35" spans="1:12">
      <c r="A35" s="38"/>
      <c r="G35" s="39"/>
      <c r="H35" s="39"/>
      <c r="I35" s="39"/>
      <c r="J35" s="39"/>
      <c r="K35" s="39"/>
    </row>
    <row r="36" spans="1:12">
      <c r="A36" s="38"/>
      <c r="G36" s="39"/>
      <c r="H36" s="39"/>
      <c r="I36" s="39"/>
      <c r="J36" s="39"/>
      <c r="K36" s="39"/>
    </row>
    <row r="40" spans="1:12">
      <c r="A40" s="38"/>
      <c r="B40" s="179"/>
      <c r="C40" s="179"/>
      <c r="D40" s="179"/>
      <c r="E40" s="179"/>
      <c r="F40" s="179"/>
      <c r="G40" s="179"/>
      <c r="H40" s="179"/>
      <c r="I40" s="179"/>
      <c r="J40" s="179"/>
      <c r="K40" s="179"/>
      <c r="L40" s="179"/>
    </row>
    <row r="41" spans="1:12">
      <c r="A41" s="38"/>
      <c r="G41" s="39"/>
      <c r="H41" s="39"/>
      <c r="I41" s="39"/>
      <c r="J41" s="39"/>
      <c r="K41" s="39"/>
    </row>
    <row r="42" spans="1:12">
      <c r="A42" s="38"/>
      <c r="G42" s="39"/>
      <c r="H42" s="39"/>
      <c r="I42" s="39"/>
      <c r="J42" s="39"/>
      <c r="K42" s="39"/>
    </row>
    <row r="43" spans="1:12">
      <c r="A43" s="38"/>
      <c r="G43" s="39"/>
      <c r="H43" s="39"/>
      <c r="I43" s="39"/>
      <c r="J43" s="39"/>
      <c r="K43" s="39"/>
    </row>
    <row r="44" spans="1:12">
      <c r="A44" s="38"/>
      <c r="G44" s="39"/>
      <c r="H44" s="39"/>
      <c r="I44" s="39"/>
      <c r="J44" s="39"/>
      <c r="K44" s="39"/>
    </row>
    <row r="45" spans="1:12">
      <c r="A45" s="38"/>
      <c r="G45" s="39"/>
      <c r="H45" s="39"/>
      <c r="I45" s="39"/>
      <c r="J45" s="39"/>
      <c r="K45" s="39"/>
    </row>
    <row r="46" spans="1:12">
      <c r="B46" s="179"/>
      <c r="C46" s="171"/>
      <c r="D46" s="171"/>
      <c r="E46" s="171"/>
      <c r="F46" s="171"/>
      <c r="G46" s="171"/>
      <c r="H46" s="171"/>
      <c r="I46" s="171"/>
      <c r="J46" s="171"/>
      <c r="K46" s="171"/>
    </row>
    <row r="47" spans="1:12">
      <c r="A47" s="38"/>
      <c r="G47" s="39"/>
      <c r="H47" s="39"/>
      <c r="I47" s="39"/>
      <c r="J47" s="39"/>
      <c r="K47" s="39"/>
    </row>
    <row r="48" spans="1:12">
      <c r="A48" s="38"/>
      <c r="G48" s="39"/>
      <c r="H48" s="39"/>
      <c r="I48" s="39"/>
      <c r="J48" s="39"/>
      <c r="K48" s="39"/>
    </row>
    <row r="49" spans="1:11">
      <c r="A49" s="38"/>
      <c r="G49" s="39"/>
      <c r="H49" s="39"/>
      <c r="I49" s="39"/>
      <c r="J49" s="39"/>
      <c r="K49" s="39"/>
    </row>
    <row r="50" spans="1:11">
      <c r="A50" s="38"/>
      <c r="G50" s="39"/>
      <c r="H50" s="39"/>
      <c r="I50" s="39"/>
      <c r="J50" s="39"/>
      <c r="K50" s="39"/>
    </row>
  </sheetData>
  <mergeCells count="9">
    <mergeCell ref="B4:C4"/>
    <mergeCell ref="B15:L15"/>
    <mergeCell ref="B16:F16"/>
    <mergeCell ref="H16:L16"/>
    <mergeCell ref="B46:K46"/>
    <mergeCell ref="B28:L28"/>
    <mergeCell ref="B29:F29"/>
    <mergeCell ref="H29:L29"/>
    <mergeCell ref="B40:L40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opLeftCell="A2" workbookViewId="0">
      <selection activeCell="A2" sqref="A2"/>
    </sheetView>
  </sheetViews>
  <sheetFormatPr defaultRowHeight="15"/>
  <cols>
    <col min="1" max="1" width="29.42578125" customWidth="1"/>
  </cols>
  <sheetData>
    <row r="1" spans="1:7" ht="15.75">
      <c r="A1" s="48"/>
      <c r="B1" s="51"/>
      <c r="C1" s="51"/>
      <c r="D1" s="51"/>
      <c r="E1" s="51"/>
      <c r="F1" s="51"/>
      <c r="G1" s="51"/>
    </row>
    <row r="2" spans="1:7">
      <c r="A2" t="s">
        <v>789</v>
      </c>
      <c r="G2" s="49"/>
    </row>
    <row r="3" spans="1:7" ht="15.75">
      <c r="A3" s="48"/>
      <c r="B3" s="43"/>
      <c r="C3" s="43"/>
      <c r="D3" s="43"/>
      <c r="E3" s="43"/>
      <c r="F3" s="43"/>
      <c r="G3" s="49"/>
    </row>
    <row r="4" spans="1:7" ht="15.75">
      <c r="A4" s="48"/>
      <c r="B4" s="43"/>
      <c r="C4" s="43"/>
      <c r="D4" s="43"/>
      <c r="E4" s="43"/>
      <c r="F4" s="43"/>
      <c r="G4" s="49"/>
    </row>
    <row r="5" spans="1:7" ht="15.75">
      <c r="A5" s="48"/>
      <c r="B5" s="51" t="s">
        <v>197</v>
      </c>
      <c r="C5" s="51"/>
      <c r="D5" s="51"/>
      <c r="E5" s="51"/>
      <c r="F5" s="51"/>
      <c r="G5" s="51"/>
    </row>
    <row r="6" spans="1:7">
      <c r="A6" s="98" t="s">
        <v>326</v>
      </c>
      <c r="B6" t="s">
        <v>321</v>
      </c>
      <c r="C6" t="s">
        <v>322</v>
      </c>
      <c r="D6" t="s">
        <v>323</v>
      </c>
      <c r="E6" t="s">
        <v>324</v>
      </c>
      <c r="F6" t="s">
        <v>325</v>
      </c>
      <c r="G6" s="49"/>
    </row>
    <row r="7" spans="1:7" ht="15.75">
      <c r="A7" s="98">
        <v>0</v>
      </c>
      <c r="B7" s="43">
        <v>2956.39</v>
      </c>
      <c r="C7" s="43">
        <v>2311.9349999999999</v>
      </c>
      <c r="D7" s="43">
        <v>2154.2950000000001</v>
      </c>
      <c r="E7" s="43">
        <v>1584.38</v>
      </c>
      <c r="F7" s="43">
        <v>1455.39</v>
      </c>
      <c r="G7" s="49"/>
    </row>
    <row r="8" spans="1:7" ht="15.75">
      <c r="A8" s="98">
        <v>0.5</v>
      </c>
      <c r="B8" s="43">
        <v>1549.39</v>
      </c>
      <c r="C8" s="43">
        <v>1848.38</v>
      </c>
      <c r="D8" s="43">
        <v>2575.29</v>
      </c>
      <c r="E8" s="43">
        <v>1764.29</v>
      </c>
      <c r="F8" s="43">
        <v>1693.93</v>
      </c>
      <c r="G8" s="49"/>
    </row>
    <row r="9" spans="1:7" ht="15.75">
      <c r="A9" s="98">
        <v>1</v>
      </c>
      <c r="B9" s="43">
        <v>1445.69</v>
      </c>
      <c r="C9" s="43">
        <v>1694.92</v>
      </c>
      <c r="D9" s="43">
        <v>2592.19</v>
      </c>
      <c r="E9" s="43">
        <v>2314.9299999999998</v>
      </c>
      <c r="F9" s="43">
        <v>1854.93</v>
      </c>
      <c r="G9" s="49"/>
    </row>
    <row r="10" spans="1:7" ht="15.75">
      <c r="A10" s="98">
        <v>1.5</v>
      </c>
      <c r="B10" s="43">
        <v>1863.19</v>
      </c>
      <c r="C10" s="43">
        <v>2234.19</v>
      </c>
      <c r="D10" s="43">
        <v>1864.29</v>
      </c>
      <c r="E10" s="43">
        <v>2194.29</v>
      </c>
      <c r="F10" s="43">
        <v>1324.54</v>
      </c>
    </row>
    <row r="11" spans="1:7" ht="15.75">
      <c r="A11" s="98">
        <v>2</v>
      </c>
      <c r="B11" s="43">
        <v>1563.2</v>
      </c>
      <c r="C11" s="43">
        <v>1449.23</v>
      </c>
      <c r="D11" s="43">
        <v>1732.19</v>
      </c>
      <c r="E11" s="43">
        <v>856.25</v>
      </c>
      <c r="F11" s="43">
        <v>583.58299999999997</v>
      </c>
    </row>
    <row r="12" spans="1:7" ht="15.75">
      <c r="A12" s="98">
        <v>2.5</v>
      </c>
      <c r="B12" s="43">
        <v>365.29</v>
      </c>
      <c r="C12" s="43">
        <v>285.95</v>
      </c>
      <c r="D12" s="43">
        <v>628.19399999999996</v>
      </c>
      <c r="E12" s="43">
        <v>445.95299999999997</v>
      </c>
      <c r="F12" s="43">
        <v>754.29399999999998</v>
      </c>
    </row>
    <row r="13" spans="1:7" ht="15.75">
      <c r="A13" s="98">
        <v>3</v>
      </c>
      <c r="B13" s="43">
        <v>495.29</v>
      </c>
      <c r="C13" s="43">
        <v>633.91999999999996</v>
      </c>
      <c r="D13" s="43">
        <v>294.10000000000002</v>
      </c>
      <c r="E13" s="43">
        <v>85.623000000000005</v>
      </c>
      <c r="F13" s="43">
        <v>235.23</v>
      </c>
    </row>
    <row r="14" spans="1:7" ht="15.75">
      <c r="A14" s="98">
        <v>3.5</v>
      </c>
      <c r="B14" s="43">
        <v>76.394999999999996</v>
      </c>
      <c r="C14" s="43">
        <v>49.695</v>
      </c>
      <c r="D14" s="43">
        <v>68.59</v>
      </c>
      <c r="E14" s="43">
        <v>88.194000000000003</v>
      </c>
      <c r="F14" s="43">
        <v>185.38499999999999</v>
      </c>
    </row>
    <row r="15" spans="1:7" ht="15.75">
      <c r="A15" s="98">
        <v>4</v>
      </c>
      <c r="B15" s="43">
        <v>154.19</v>
      </c>
      <c r="C15" s="43">
        <v>38.65</v>
      </c>
      <c r="D15" s="43">
        <v>62.295000000000002</v>
      </c>
      <c r="E15" s="43">
        <v>55.293999999999997</v>
      </c>
      <c r="F15" s="43">
        <v>39.593000000000004</v>
      </c>
    </row>
    <row r="16" spans="1:7" ht="15.75">
      <c r="A16" s="98">
        <v>4.5</v>
      </c>
      <c r="B16" s="43">
        <v>43.244999999999997</v>
      </c>
      <c r="C16" s="43">
        <v>38.923000000000002</v>
      </c>
      <c r="D16" s="43">
        <v>12.4396</v>
      </c>
      <c r="E16" s="43">
        <v>41.96</v>
      </c>
      <c r="F16" s="43">
        <v>86.235399999999998</v>
      </c>
    </row>
    <row r="17" spans="1:6" ht="15.75">
      <c r="A17" s="98">
        <v>5</v>
      </c>
      <c r="B17" s="43">
        <v>38.65</v>
      </c>
      <c r="C17" s="43">
        <v>12.29</v>
      </c>
      <c r="D17" s="43">
        <v>16.739000000000001</v>
      </c>
      <c r="E17" s="43">
        <v>35.69</v>
      </c>
      <c r="F17" s="43">
        <v>23.495000000000001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47"/>
  <sheetViews>
    <sheetView workbookViewId="0">
      <selection activeCell="A2" sqref="A2"/>
    </sheetView>
  </sheetViews>
  <sheetFormatPr defaultRowHeight="15"/>
  <cols>
    <col min="1" max="1" width="22.140625" style="39" customWidth="1"/>
    <col min="2" max="6" width="9.140625" style="39"/>
  </cols>
  <sheetData>
    <row r="2" spans="1:12">
      <c r="A2" s="38" t="s">
        <v>790</v>
      </c>
    </row>
    <row r="3" spans="1:12">
      <c r="A3" s="38"/>
    </row>
    <row r="4" spans="1:12">
      <c r="A4" s="38" t="s">
        <v>167</v>
      </c>
      <c r="B4" s="169" t="s">
        <v>206</v>
      </c>
      <c r="C4" s="169"/>
      <c r="E4" s="38" t="s">
        <v>171</v>
      </c>
    </row>
    <row r="5" spans="1:12">
      <c r="A5" s="39">
        <v>0</v>
      </c>
      <c r="B5" s="39">
        <v>8.5999999999999993E-2</v>
      </c>
      <c r="C5" s="39">
        <v>8.3000000000000004E-2</v>
      </c>
      <c r="E5" s="39">
        <f>AVERAGE(B5:C5)</f>
        <v>8.4499999999999992E-2</v>
      </c>
    </row>
    <row r="6" spans="1:12">
      <c r="A6" s="39">
        <v>0.31</v>
      </c>
      <c r="B6" s="39">
        <v>0.14899999999999999</v>
      </c>
      <c r="C6" s="39">
        <v>0.14199999999999999</v>
      </c>
      <c r="E6" s="39">
        <f t="shared" ref="E6:E12" si="0">AVERAGE(B6:C6)</f>
        <v>0.14549999999999999</v>
      </c>
    </row>
    <row r="7" spans="1:12">
      <c r="A7" s="39">
        <v>0.625</v>
      </c>
      <c r="B7" s="39">
        <v>0.19500000000000001</v>
      </c>
      <c r="C7" s="39">
        <v>0.193</v>
      </c>
      <c r="E7" s="39">
        <f t="shared" si="0"/>
        <v>0.19400000000000001</v>
      </c>
    </row>
    <row r="8" spans="1:12">
      <c r="A8" s="39">
        <v>1.25</v>
      </c>
      <c r="B8" s="39">
        <v>0.219</v>
      </c>
      <c r="C8" s="39">
        <v>0.29499999999999998</v>
      </c>
      <c r="E8" s="39">
        <f t="shared" si="0"/>
        <v>0.25700000000000001</v>
      </c>
    </row>
    <row r="9" spans="1:12">
      <c r="A9" s="39">
        <v>2.5</v>
      </c>
      <c r="B9" s="39">
        <v>0.59599999999999997</v>
      </c>
      <c r="C9" s="39">
        <v>0.54400000000000004</v>
      </c>
      <c r="E9" s="39">
        <f t="shared" si="0"/>
        <v>0.57000000000000006</v>
      </c>
    </row>
    <row r="10" spans="1:12">
      <c r="A10" s="39">
        <v>5</v>
      </c>
      <c r="B10" s="39">
        <v>1.214</v>
      </c>
      <c r="C10" s="39">
        <v>1.294</v>
      </c>
      <c r="E10" s="39">
        <f t="shared" si="0"/>
        <v>1.254</v>
      </c>
    </row>
    <row r="11" spans="1:12">
      <c r="A11" s="39">
        <v>10</v>
      </c>
      <c r="B11" s="39">
        <v>1.7889999999999999</v>
      </c>
      <c r="C11" s="39">
        <v>1.7949999999999999</v>
      </c>
      <c r="E11" s="39">
        <f t="shared" si="0"/>
        <v>1.7919999999999998</v>
      </c>
    </row>
    <row r="12" spans="1:12">
      <c r="A12" s="39">
        <v>20</v>
      </c>
      <c r="B12" s="39">
        <v>2.96</v>
      </c>
      <c r="C12" s="39">
        <v>2.93</v>
      </c>
      <c r="E12" s="39">
        <f t="shared" si="0"/>
        <v>2.9450000000000003</v>
      </c>
    </row>
    <row r="15" spans="1:12">
      <c r="A15" s="38"/>
      <c r="B15" s="179"/>
      <c r="C15" s="179"/>
      <c r="D15" s="179"/>
      <c r="E15" s="179"/>
      <c r="F15" s="179"/>
      <c r="G15" s="179"/>
      <c r="H15" s="179"/>
      <c r="I15" s="179"/>
      <c r="J15" s="179"/>
      <c r="K15" s="179"/>
      <c r="L15" s="179"/>
    </row>
    <row r="16" spans="1:12">
      <c r="A16" s="38"/>
      <c r="B16" s="179" t="s">
        <v>206</v>
      </c>
      <c r="C16" s="179"/>
      <c r="D16" s="179"/>
      <c r="E16" s="179"/>
      <c r="F16" s="179"/>
      <c r="G16" s="60"/>
      <c r="H16" s="179" t="s">
        <v>320</v>
      </c>
      <c r="I16" s="179"/>
      <c r="J16" s="179"/>
      <c r="K16" s="179"/>
      <c r="L16" s="179"/>
    </row>
    <row r="17" spans="1:25">
      <c r="A17" s="98" t="s">
        <v>326</v>
      </c>
      <c r="G17" s="39"/>
      <c r="H17" s="39"/>
      <c r="I17" s="39"/>
      <c r="J17" s="39"/>
      <c r="K17" s="39"/>
      <c r="L17" s="39"/>
      <c r="P17" s="40"/>
      <c r="Q17" s="40"/>
      <c r="R17" s="40"/>
      <c r="S17" s="40"/>
      <c r="T17" s="40"/>
      <c r="U17" s="40"/>
      <c r="V17" s="40"/>
      <c r="W17" s="40"/>
      <c r="X17" s="40"/>
      <c r="Y17" s="40"/>
    </row>
    <row r="18" spans="1:25">
      <c r="A18" s="98">
        <v>0</v>
      </c>
      <c r="B18" s="39">
        <v>0.17680000000000001</v>
      </c>
      <c r="C18" s="39">
        <v>0.183</v>
      </c>
      <c r="D18" s="39">
        <v>0.21840000000000001</v>
      </c>
      <c r="E18" s="39">
        <v>0.33800000000000002</v>
      </c>
      <c r="F18" s="39">
        <v>0.438</v>
      </c>
      <c r="G18" s="39"/>
      <c r="H18" s="39">
        <f t="shared" ref="H18:L28" si="1">((B18-0.193)/0.1552)</f>
        <v>-0.10438144329896902</v>
      </c>
      <c r="I18" s="39">
        <f t="shared" si="1"/>
        <v>-6.4432989690721698E-2</v>
      </c>
      <c r="J18" s="39">
        <f t="shared" si="1"/>
        <v>0.16365979381443302</v>
      </c>
      <c r="K18" s="39">
        <f t="shared" si="1"/>
        <v>0.93427835051546404</v>
      </c>
      <c r="L18" s="39">
        <f t="shared" si="1"/>
        <v>1.5786082474226804</v>
      </c>
      <c r="P18" s="40"/>
      <c r="Q18" s="40"/>
      <c r="R18" s="40"/>
      <c r="S18" s="40"/>
      <c r="T18" s="40"/>
      <c r="U18" s="40"/>
      <c r="V18" s="40"/>
      <c r="W18" s="40"/>
      <c r="X18" s="40"/>
      <c r="Y18" s="40"/>
    </row>
    <row r="19" spans="1:25">
      <c r="A19" s="98">
        <v>0.5</v>
      </c>
      <c r="B19" s="39">
        <v>0.317</v>
      </c>
      <c r="C19" s="39">
        <v>0.184</v>
      </c>
      <c r="D19" s="39">
        <v>0.32800000000000001</v>
      </c>
      <c r="E19" s="39">
        <v>0.217</v>
      </c>
      <c r="F19" s="39">
        <v>0.55200000000000005</v>
      </c>
      <c r="G19" s="39"/>
      <c r="H19" s="39">
        <f t="shared" si="1"/>
        <v>0.79896907216494839</v>
      </c>
      <c r="I19" s="39">
        <f t="shared" si="1"/>
        <v>-5.7989690721649535E-2</v>
      </c>
      <c r="J19" s="39">
        <f t="shared" si="1"/>
        <v>0.86984536082474229</v>
      </c>
      <c r="K19" s="39">
        <f t="shared" si="1"/>
        <v>0.15463917525773191</v>
      </c>
      <c r="L19" s="39">
        <f t="shared" si="1"/>
        <v>2.3131443298969074</v>
      </c>
      <c r="P19" s="40"/>
      <c r="Q19" s="40"/>
      <c r="R19" s="40"/>
      <c r="S19" s="40"/>
      <c r="T19" s="40"/>
      <c r="U19" s="40"/>
      <c r="V19" s="40"/>
      <c r="W19" s="40"/>
      <c r="X19" s="40"/>
      <c r="Y19" s="40"/>
    </row>
    <row r="20" spans="1:25">
      <c r="A20" s="98">
        <v>1</v>
      </c>
      <c r="B20" s="39">
        <v>0.74199999999999999</v>
      </c>
      <c r="C20" s="39">
        <v>0.63700000000000001</v>
      </c>
      <c r="D20" s="39">
        <v>0.374</v>
      </c>
      <c r="E20" s="39">
        <v>0.54200000000000004</v>
      </c>
      <c r="F20" s="39">
        <v>0.217</v>
      </c>
      <c r="G20" s="39"/>
      <c r="H20" s="39">
        <f t="shared" si="1"/>
        <v>3.537371134020618</v>
      </c>
      <c r="I20" s="39">
        <f t="shared" si="1"/>
        <v>2.8608247422680413</v>
      </c>
      <c r="J20" s="39">
        <f t="shared" si="1"/>
        <v>1.1662371134020617</v>
      </c>
      <c r="K20" s="39">
        <f t="shared" si="1"/>
        <v>2.2487113402061856</v>
      </c>
      <c r="L20" s="39">
        <f t="shared" si="1"/>
        <v>0.15463917525773191</v>
      </c>
      <c r="P20" s="40"/>
      <c r="Q20" s="40"/>
      <c r="R20" s="40"/>
      <c r="S20" s="40"/>
      <c r="T20" s="40"/>
      <c r="U20" s="40"/>
      <c r="V20" s="40"/>
      <c r="W20" s="40"/>
      <c r="X20" s="40"/>
      <c r="Y20" s="40"/>
    </row>
    <row r="21" spans="1:25">
      <c r="A21" s="98">
        <v>1.5</v>
      </c>
      <c r="B21" s="39">
        <v>0.84699999999999998</v>
      </c>
      <c r="C21" s="39">
        <v>0.67200000000000004</v>
      </c>
      <c r="D21" s="39">
        <v>0.52800000000000002</v>
      </c>
      <c r="E21" s="39">
        <v>0.33800000000000002</v>
      </c>
      <c r="F21" s="39">
        <v>0.84299999999999997</v>
      </c>
      <c r="G21" s="39"/>
      <c r="H21" s="39">
        <f t="shared" si="1"/>
        <v>4.2139175257731951</v>
      </c>
      <c r="I21" s="39">
        <f t="shared" si="1"/>
        <v>3.0863402061855671</v>
      </c>
      <c r="J21" s="39">
        <f t="shared" si="1"/>
        <v>2.1585051546391751</v>
      </c>
      <c r="K21" s="39">
        <f t="shared" si="1"/>
        <v>0.93427835051546404</v>
      </c>
      <c r="L21" s="39">
        <f t="shared" si="1"/>
        <v>4.1881443298969065</v>
      </c>
      <c r="P21" s="40"/>
      <c r="Q21" s="40"/>
      <c r="R21" s="40"/>
      <c r="S21" s="40"/>
      <c r="T21" s="40"/>
      <c r="U21" s="40"/>
      <c r="V21" s="40"/>
      <c r="W21" s="40"/>
      <c r="X21" s="40"/>
      <c r="Y21" s="40"/>
    </row>
    <row r="22" spans="1:25" ht="15.75">
      <c r="A22" s="61">
        <v>2</v>
      </c>
      <c r="B22" s="39">
        <v>1.43</v>
      </c>
      <c r="C22" s="39">
        <v>1.843</v>
      </c>
      <c r="D22" s="39">
        <v>1.274</v>
      </c>
      <c r="E22" s="39">
        <v>1.478</v>
      </c>
      <c r="F22" s="39">
        <v>0.98399999999999999</v>
      </c>
      <c r="G22" s="39"/>
      <c r="H22" s="39">
        <f t="shared" si="1"/>
        <v>7.9703608247422668</v>
      </c>
      <c r="I22" s="39">
        <f t="shared" si="1"/>
        <v>10.631443298969071</v>
      </c>
      <c r="J22" s="39">
        <f t="shared" si="1"/>
        <v>6.96520618556701</v>
      </c>
      <c r="K22" s="39">
        <f t="shared" si="1"/>
        <v>8.2796391752577314</v>
      </c>
      <c r="L22" s="39">
        <f t="shared" si="1"/>
        <v>5.0966494845360817</v>
      </c>
      <c r="M22" s="39"/>
    </row>
    <row r="23" spans="1:25" ht="15.75">
      <c r="A23" s="61">
        <v>2.5</v>
      </c>
      <c r="B23" s="39">
        <v>1.853</v>
      </c>
      <c r="C23" s="39">
        <v>1.448</v>
      </c>
      <c r="D23" s="39">
        <v>0.78400000000000003</v>
      </c>
      <c r="E23" s="39">
        <v>1.583</v>
      </c>
      <c r="F23" s="39">
        <v>2.4849999999999999</v>
      </c>
      <c r="G23" s="39"/>
      <c r="H23" s="39">
        <f t="shared" si="1"/>
        <v>10.695876288659793</v>
      </c>
      <c r="I23" s="39">
        <f t="shared" si="1"/>
        <v>8.0863402061855663</v>
      </c>
      <c r="J23" s="39">
        <f t="shared" si="1"/>
        <v>3.8079896907216493</v>
      </c>
      <c r="K23" s="39">
        <f t="shared" si="1"/>
        <v>8.9561855670103085</v>
      </c>
      <c r="L23" s="39">
        <f t="shared" si="1"/>
        <v>14.768041237113401</v>
      </c>
    </row>
    <row r="24" spans="1:25" ht="15.75">
      <c r="A24" s="61">
        <v>3</v>
      </c>
      <c r="B24" s="39">
        <v>2.1230000000000002</v>
      </c>
      <c r="C24" s="39">
        <v>2.3109999999999999</v>
      </c>
      <c r="D24" s="39">
        <v>1.583</v>
      </c>
      <c r="E24" s="39">
        <v>1.845</v>
      </c>
      <c r="F24" s="39">
        <v>2.6429999999999998</v>
      </c>
      <c r="G24" s="39"/>
      <c r="H24" s="39">
        <f t="shared" si="1"/>
        <v>12.435567010309279</v>
      </c>
      <c r="I24" s="39">
        <f t="shared" si="1"/>
        <v>13.646907216494844</v>
      </c>
      <c r="J24" s="39">
        <f t="shared" si="1"/>
        <v>8.9561855670103085</v>
      </c>
      <c r="K24" s="39">
        <f t="shared" si="1"/>
        <v>10.644329896907216</v>
      </c>
      <c r="L24" s="39">
        <f t="shared" si="1"/>
        <v>15.786082474226802</v>
      </c>
    </row>
    <row r="25" spans="1:25" ht="15.75">
      <c r="A25" s="99">
        <v>3.5</v>
      </c>
      <c r="B25" s="39">
        <v>2.48</v>
      </c>
      <c r="C25" s="39">
        <v>2.68</v>
      </c>
      <c r="D25" s="39">
        <v>1.7829999999999999</v>
      </c>
      <c r="E25" s="39">
        <v>1.9470000000000001</v>
      </c>
      <c r="F25" s="39">
        <v>3.4950000000000001</v>
      </c>
      <c r="H25" s="39">
        <f t="shared" si="1"/>
        <v>14.73582474226804</v>
      </c>
      <c r="I25" s="39">
        <f t="shared" si="1"/>
        <v>16.024484536082475</v>
      </c>
      <c r="J25" s="39">
        <f t="shared" si="1"/>
        <v>10.244845360824741</v>
      </c>
      <c r="K25" s="39">
        <f t="shared" si="1"/>
        <v>11.301546391752577</v>
      </c>
      <c r="L25" s="39">
        <f t="shared" si="1"/>
        <v>21.275773195876287</v>
      </c>
    </row>
    <row r="26" spans="1:25" ht="15.75">
      <c r="A26" s="99">
        <v>4</v>
      </c>
      <c r="B26" s="39">
        <v>2.5209999999999999</v>
      </c>
      <c r="C26" s="39">
        <v>1.9830000000000001</v>
      </c>
      <c r="D26" s="39">
        <v>2.4849999999999999</v>
      </c>
      <c r="E26" s="39">
        <v>3.282</v>
      </c>
      <c r="F26" s="39">
        <v>3.13</v>
      </c>
      <c r="G26" s="39"/>
      <c r="H26" s="39">
        <f t="shared" si="1"/>
        <v>14.999999999999998</v>
      </c>
      <c r="I26" s="39">
        <f t="shared" si="1"/>
        <v>11.533505154639176</v>
      </c>
      <c r="J26" s="39">
        <f t="shared" si="1"/>
        <v>14.768041237113401</v>
      </c>
      <c r="K26" s="39">
        <f t="shared" si="1"/>
        <v>19.903350515463917</v>
      </c>
      <c r="L26" s="39">
        <f t="shared" si="1"/>
        <v>18.923969072164947</v>
      </c>
    </row>
    <row r="27" spans="1:25">
      <c r="A27" s="38">
        <v>4.5</v>
      </c>
      <c r="B27" s="39">
        <v>3.194</v>
      </c>
      <c r="C27" s="39">
        <v>2.3839999999999999</v>
      </c>
      <c r="D27" s="39">
        <v>2.194</v>
      </c>
      <c r="E27" s="39">
        <v>2.44</v>
      </c>
      <c r="F27" s="39">
        <v>3.8370000000000002</v>
      </c>
      <c r="G27" s="39"/>
      <c r="H27" s="39">
        <f t="shared" si="1"/>
        <v>19.336340206185564</v>
      </c>
      <c r="I27" s="39">
        <f t="shared" si="1"/>
        <v>14.117268041237113</v>
      </c>
      <c r="J27" s="39">
        <f t="shared" si="1"/>
        <v>12.893041237113401</v>
      </c>
      <c r="K27" s="39">
        <f t="shared" si="1"/>
        <v>14.478092783505154</v>
      </c>
      <c r="L27" s="39">
        <f t="shared" si="1"/>
        <v>23.479381443298969</v>
      </c>
    </row>
    <row r="28" spans="1:25">
      <c r="A28" s="38">
        <v>5</v>
      </c>
      <c r="B28" s="39">
        <v>3.4830000000000001</v>
      </c>
      <c r="C28" s="39">
        <v>3.1829999999999998</v>
      </c>
      <c r="D28" s="39">
        <v>3.85</v>
      </c>
      <c r="E28" s="39">
        <v>2.4300000000000002</v>
      </c>
      <c r="F28" s="39">
        <v>2.8490000000000002</v>
      </c>
      <c r="G28" s="39"/>
      <c r="H28" s="39">
        <f t="shared" si="1"/>
        <v>21.198453608247423</v>
      </c>
      <c r="I28" s="39">
        <f t="shared" si="1"/>
        <v>19.265463917525771</v>
      </c>
      <c r="J28" s="39">
        <f t="shared" si="1"/>
        <v>23.563144329896907</v>
      </c>
      <c r="K28" s="39">
        <f t="shared" si="1"/>
        <v>14.413659793814434</v>
      </c>
      <c r="L28" s="39">
        <f t="shared" si="1"/>
        <v>17.11340206185567</v>
      </c>
    </row>
    <row r="29" spans="1:25">
      <c r="A29" s="38"/>
      <c r="G29" s="39"/>
      <c r="H29" s="39"/>
      <c r="I29" s="39"/>
      <c r="J29" s="39"/>
      <c r="K29" s="39"/>
      <c r="L29" s="39"/>
    </row>
    <row r="30" spans="1:25">
      <c r="A30" s="38"/>
      <c r="G30" s="39"/>
      <c r="H30" s="39"/>
      <c r="I30" s="39"/>
      <c r="J30" s="39"/>
      <c r="K30" s="39"/>
      <c r="L30" s="39"/>
    </row>
    <row r="31" spans="1:25">
      <c r="A31" s="38"/>
      <c r="G31" s="39"/>
      <c r="H31" s="39"/>
      <c r="I31" s="39"/>
      <c r="J31" s="39"/>
      <c r="K31" s="39"/>
    </row>
    <row r="32" spans="1:25">
      <c r="A32" s="38"/>
      <c r="G32" s="39"/>
      <c r="H32" s="39"/>
      <c r="I32" s="39"/>
      <c r="J32" s="39"/>
      <c r="K32" s="39"/>
    </row>
    <row r="33" spans="1:12">
      <c r="A33" s="38"/>
      <c r="G33" s="39"/>
      <c r="H33" s="39"/>
      <c r="I33" s="39"/>
      <c r="J33" s="39"/>
      <c r="K33" s="39"/>
    </row>
    <row r="37" spans="1:12">
      <c r="A37" s="38"/>
      <c r="B37" s="179"/>
      <c r="C37" s="179"/>
      <c r="D37" s="179"/>
      <c r="E37" s="179"/>
      <c r="F37" s="179"/>
      <c r="G37" s="179"/>
      <c r="H37" s="179"/>
      <c r="I37" s="179"/>
      <c r="J37" s="179"/>
      <c r="K37" s="179"/>
      <c r="L37" s="179"/>
    </row>
    <row r="38" spans="1:12">
      <c r="A38" s="38"/>
      <c r="G38" s="39"/>
      <c r="H38" s="39"/>
      <c r="I38" s="39"/>
      <c r="J38" s="39"/>
      <c r="K38" s="39"/>
    </row>
    <row r="39" spans="1:12">
      <c r="A39" s="38"/>
      <c r="G39" s="39"/>
      <c r="H39" s="39"/>
      <c r="I39" s="39"/>
      <c r="J39" s="39"/>
      <c r="K39" s="39"/>
    </row>
    <row r="40" spans="1:12">
      <c r="A40" s="38"/>
      <c r="G40" s="39"/>
      <c r="H40" s="39"/>
      <c r="I40" s="39"/>
      <c r="J40" s="39"/>
      <c r="K40" s="39"/>
    </row>
    <row r="41" spans="1:12">
      <c r="A41" s="38"/>
      <c r="G41" s="39"/>
      <c r="H41" s="39"/>
      <c r="I41" s="39"/>
      <c r="J41" s="39"/>
      <c r="K41" s="39"/>
    </row>
    <row r="42" spans="1:12">
      <c r="A42" s="38"/>
      <c r="G42" s="39"/>
      <c r="H42" s="39"/>
      <c r="I42" s="39"/>
      <c r="J42" s="39"/>
      <c r="K42" s="39"/>
    </row>
    <row r="43" spans="1:12">
      <c r="B43" s="179"/>
      <c r="C43" s="171"/>
      <c r="D43" s="171"/>
      <c r="E43" s="171"/>
      <c r="F43" s="171"/>
      <c r="G43" s="171"/>
      <c r="H43" s="171"/>
      <c r="I43" s="171"/>
      <c r="J43" s="171"/>
      <c r="K43" s="171"/>
    </row>
    <row r="44" spans="1:12">
      <c r="A44" s="38"/>
      <c r="G44" s="39"/>
      <c r="H44" s="39"/>
      <c r="I44" s="39"/>
      <c r="J44" s="39"/>
      <c r="K44" s="39"/>
    </row>
    <row r="45" spans="1:12">
      <c r="A45" s="38"/>
      <c r="G45" s="39"/>
      <c r="H45" s="39"/>
      <c r="I45" s="39"/>
      <c r="J45" s="39"/>
      <c r="K45" s="39"/>
    </row>
    <row r="46" spans="1:12">
      <c r="A46" s="38"/>
      <c r="G46" s="39"/>
      <c r="H46" s="39"/>
      <c r="I46" s="39"/>
      <c r="J46" s="39"/>
      <c r="K46" s="39"/>
    </row>
    <row r="47" spans="1:12">
      <c r="A47" s="38"/>
      <c r="G47" s="39"/>
      <c r="H47" s="39"/>
      <c r="I47" s="39"/>
      <c r="J47" s="39"/>
      <c r="K47" s="39"/>
    </row>
  </sheetData>
  <mergeCells count="6">
    <mergeCell ref="B43:K43"/>
    <mergeCell ref="B4:C4"/>
    <mergeCell ref="B15:L15"/>
    <mergeCell ref="B16:F16"/>
    <mergeCell ref="H16:L16"/>
    <mergeCell ref="B37:L37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4"/>
  <sheetViews>
    <sheetView zoomScale="85" zoomScaleNormal="85" workbookViewId="0"/>
  </sheetViews>
  <sheetFormatPr defaultRowHeight="15"/>
  <cols>
    <col min="1" max="3" width="40.7109375" style="8" customWidth="1"/>
    <col min="4" max="4" width="12.5703125" style="8" customWidth="1"/>
    <col min="5" max="8" width="9.140625" style="8"/>
    <col min="9" max="9" width="10.28515625" style="25" bestFit="1" customWidth="1"/>
    <col min="10" max="10" width="11.28515625" style="8" customWidth="1"/>
    <col min="11" max="12" width="9.140625" style="8"/>
    <col min="13" max="13" width="12.7109375" style="8" bestFit="1" customWidth="1"/>
    <col min="14" max="16384" width="9.140625" style="8"/>
  </cols>
  <sheetData>
    <row r="1" spans="1:21">
      <c r="A1" s="21" t="s">
        <v>791</v>
      </c>
    </row>
    <row r="2" spans="1:21">
      <c r="B2" s="21"/>
      <c r="C2" s="21"/>
    </row>
    <row r="3" spans="1:21" ht="15.75">
      <c r="A3" s="109" t="s">
        <v>328</v>
      </c>
    </row>
    <row r="4" spans="1:21" ht="15.75">
      <c r="A4" s="110" t="s">
        <v>335</v>
      </c>
      <c r="B4" s="21"/>
      <c r="C4" s="21"/>
      <c r="D4" s="175" t="s">
        <v>329</v>
      </c>
      <c r="E4" s="175"/>
      <c r="F4" s="175"/>
      <c r="G4" s="21"/>
      <c r="H4" s="175" t="s">
        <v>330</v>
      </c>
      <c r="I4" s="175"/>
      <c r="J4" s="175"/>
      <c r="K4" s="21"/>
      <c r="L4" s="100" t="s">
        <v>191</v>
      </c>
      <c r="M4" s="21"/>
      <c r="N4" s="21"/>
      <c r="O4" s="21"/>
      <c r="P4" s="21" t="s">
        <v>331</v>
      </c>
      <c r="Q4" s="21" t="s">
        <v>332</v>
      </c>
      <c r="R4" s="21"/>
      <c r="S4" s="21" t="s">
        <v>333</v>
      </c>
      <c r="T4" s="21"/>
      <c r="U4" s="21" t="s">
        <v>334</v>
      </c>
    </row>
    <row r="5" spans="1:21">
      <c r="A5" s="21" t="s">
        <v>204</v>
      </c>
      <c r="B5" s="70" t="s">
        <v>256</v>
      </c>
      <c r="C5" s="70" t="s">
        <v>342</v>
      </c>
      <c r="D5" s="70" t="s">
        <v>336</v>
      </c>
      <c r="E5" s="70" t="s">
        <v>337</v>
      </c>
      <c r="F5" s="70" t="s">
        <v>338</v>
      </c>
      <c r="G5" s="70"/>
      <c r="H5" s="70" t="s">
        <v>339</v>
      </c>
      <c r="I5" s="101" t="s">
        <v>337</v>
      </c>
      <c r="J5" s="70" t="s">
        <v>338</v>
      </c>
      <c r="K5" s="62"/>
      <c r="L5" s="62"/>
      <c r="M5" s="62"/>
      <c r="N5" s="62"/>
    </row>
    <row r="6" spans="1:21" ht="18">
      <c r="A6" s="104" t="s">
        <v>220</v>
      </c>
      <c r="B6" s="104" t="s">
        <v>220</v>
      </c>
      <c r="C6" s="104" t="s">
        <v>220</v>
      </c>
      <c r="D6" s="63">
        <v>21.498000000000001</v>
      </c>
      <c r="E6" s="63">
        <v>21.184000000000001</v>
      </c>
      <c r="F6" s="63">
        <v>21.484999999999999</v>
      </c>
      <c r="G6" s="62"/>
      <c r="H6" s="62">
        <v>17.495999999999999</v>
      </c>
      <c r="I6" s="102">
        <v>17.105</v>
      </c>
      <c r="J6" s="62">
        <v>17.103999999999999</v>
      </c>
      <c r="K6" s="62"/>
      <c r="L6" s="62">
        <f t="shared" ref="L6:N10" si="0">D6-H6</f>
        <v>4.0020000000000024</v>
      </c>
      <c r="M6" s="62">
        <f t="shared" si="0"/>
        <v>4.0790000000000006</v>
      </c>
      <c r="N6" s="62">
        <f t="shared" si="0"/>
        <v>4.3810000000000002</v>
      </c>
      <c r="P6" s="8">
        <f>AVERAGE(L6:N6)</f>
        <v>4.1540000000000008</v>
      </c>
      <c r="Q6" s="8">
        <f>STDEV(L6:N6)</f>
        <v>0.20032224040280608</v>
      </c>
      <c r="S6" s="8">
        <f>P6-P6</f>
        <v>0</v>
      </c>
      <c r="U6" s="8">
        <f>POWER(2,-S6)</f>
        <v>1</v>
      </c>
    </row>
    <row r="7" spans="1:21" ht="18">
      <c r="A7" s="104" t="s">
        <v>221</v>
      </c>
      <c r="B7" s="104" t="s">
        <v>220</v>
      </c>
      <c r="C7" s="104" t="s">
        <v>220</v>
      </c>
      <c r="D7" s="62">
        <v>25.305</v>
      </c>
      <c r="E7" s="62">
        <v>25.22</v>
      </c>
      <c r="F7" s="63">
        <v>25.945</v>
      </c>
      <c r="G7" s="62"/>
      <c r="H7" s="62">
        <v>18.12</v>
      </c>
      <c r="I7" s="102">
        <v>18.254999999999999</v>
      </c>
      <c r="J7" s="62">
        <v>18.149000000000001</v>
      </c>
      <c r="K7" s="62"/>
      <c r="L7" s="62">
        <f t="shared" si="0"/>
        <v>7.1849999999999987</v>
      </c>
      <c r="M7" s="62">
        <f t="shared" si="0"/>
        <v>6.9649999999999999</v>
      </c>
      <c r="N7" s="62">
        <f t="shared" si="0"/>
        <v>7.7959999999999994</v>
      </c>
      <c r="P7" s="8">
        <f t="shared" ref="P7:P10" si="1">AVERAGE(L7:N7)</f>
        <v>7.3153333333333324</v>
      </c>
      <c r="Q7" s="8">
        <f t="shared" ref="Q7:Q10" si="2">STDEV(L7:N7)</f>
        <v>0.43055816486664522</v>
      </c>
      <c r="S7" s="8">
        <f>P7-P6</f>
        <v>3.1613333333333316</v>
      </c>
      <c r="U7" s="8">
        <f t="shared" ref="U7:U10" si="3">POWER(2,-S7)</f>
        <v>0.11177478428026154</v>
      </c>
    </row>
    <row r="8" spans="1:21" ht="18">
      <c r="A8" s="104" t="s">
        <v>221</v>
      </c>
      <c r="B8" s="104" t="s">
        <v>221</v>
      </c>
      <c r="C8" s="104" t="s">
        <v>220</v>
      </c>
      <c r="D8" s="62">
        <v>24.518999999999998</v>
      </c>
      <c r="E8" s="62">
        <v>24.338000000000001</v>
      </c>
      <c r="F8" s="63">
        <v>24.43</v>
      </c>
      <c r="G8" s="62"/>
      <c r="H8" s="62">
        <v>19.105</v>
      </c>
      <c r="I8" s="102">
        <v>19.585999999999999</v>
      </c>
      <c r="J8" s="62">
        <v>19.369</v>
      </c>
      <c r="K8" s="62"/>
      <c r="L8" s="62">
        <f t="shared" si="0"/>
        <v>5.4139999999999979</v>
      </c>
      <c r="M8" s="62">
        <f t="shared" si="0"/>
        <v>4.7520000000000024</v>
      </c>
      <c r="N8" s="62">
        <f t="shared" si="0"/>
        <v>5.0609999999999999</v>
      </c>
      <c r="P8" s="8">
        <f t="shared" si="1"/>
        <v>5.0756666666666668</v>
      </c>
      <c r="Q8" s="8">
        <f t="shared" si="2"/>
        <v>0.33124361629068694</v>
      </c>
      <c r="S8" s="8">
        <f>P8-P6</f>
        <v>0.92166666666666597</v>
      </c>
      <c r="U8" s="8">
        <f t="shared" si="3"/>
        <v>0.52789881525461946</v>
      </c>
    </row>
    <row r="9" spans="1:21" ht="18">
      <c r="A9" s="104" t="s">
        <v>221</v>
      </c>
      <c r="B9" s="104" t="s">
        <v>220</v>
      </c>
      <c r="C9" s="104" t="s">
        <v>221</v>
      </c>
      <c r="D9" s="62">
        <v>25.065999999999999</v>
      </c>
      <c r="E9" s="62">
        <v>25.33</v>
      </c>
      <c r="F9" s="63">
        <v>25.103000000000002</v>
      </c>
      <c r="G9" s="62"/>
      <c r="H9" s="62">
        <v>19.704000000000001</v>
      </c>
      <c r="I9" s="102">
        <v>19.395</v>
      </c>
      <c r="J9" s="62">
        <v>19.163</v>
      </c>
      <c r="K9" s="62"/>
      <c r="L9" s="62">
        <f t="shared" si="0"/>
        <v>5.3619999999999983</v>
      </c>
      <c r="M9" s="62">
        <f t="shared" si="0"/>
        <v>5.9349999999999987</v>
      </c>
      <c r="N9" s="62">
        <f t="shared" si="0"/>
        <v>5.9400000000000013</v>
      </c>
      <c r="P9" s="8">
        <f t="shared" si="1"/>
        <v>5.7456666666666658</v>
      </c>
      <c r="Q9" s="8">
        <f t="shared" si="2"/>
        <v>0.33227448492674544</v>
      </c>
      <c r="S9" s="8">
        <f>P9-P6</f>
        <v>1.591666666666665</v>
      </c>
      <c r="U9" s="8">
        <f t="shared" si="3"/>
        <v>0.33178793558464237</v>
      </c>
    </row>
    <row r="10" spans="1:21" ht="18">
      <c r="A10" s="104" t="s">
        <v>221</v>
      </c>
      <c r="B10" s="104" t="s">
        <v>221</v>
      </c>
      <c r="C10" s="104" t="s">
        <v>221</v>
      </c>
      <c r="D10" s="62">
        <v>24.05</v>
      </c>
      <c r="E10" s="62">
        <v>24.103999999999999</v>
      </c>
      <c r="F10" s="63">
        <v>25.349</v>
      </c>
      <c r="G10" s="62"/>
      <c r="H10" s="62">
        <v>19.395</v>
      </c>
      <c r="I10" s="102">
        <v>19.96</v>
      </c>
      <c r="J10" s="62">
        <v>19.300999999999998</v>
      </c>
      <c r="K10" s="62"/>
      <c r="L10" s="62">
        <f t="shared" si="0"/>
        <v>4.6550000000000011</v>
      </c>
      <c r="M10" s="62">
        <f t="shared" si="0"/>
        <v>4.1439999999999984</v>
      </c>
      <c r="N10" s="62">
        <f t="shared" si="0"/>
        <v>6.0480000000000018</v>
      </c>
      <c r="P10" s="8">
        <f t="shared" si="1"/>
        <v>4.9490000000000007</v>
      </c>
      <c r="Q10" s="8">
        <f t="shared" si="2"/>
        <v>0.98545979116349891</v>
      </c>
      <c r="S10" s="8">
        <f>P10-P6</f>
        <v>0.79499999999999993</v>
      </c>
      <c r="U10" s="8">
        <f t="shared" si="3"/>
        <v>0.5763431733994322</v>
      </c>
    </row>
    <row r="11" spans="1:21">
      <c r="A11" s="62"/>
      <c r="B11" s="62"/>
      <c r="C11" s="62"/>
      <c r="D11" s="62"/>
      <c r="E11" s="62"/>
      <c r="F11" s="63"/>
      <c r="G11" s="62"/>
      <c r="H11" s="62"/>
      <c r="I11" s="102"/>
      <c r="J11" s="62"/>
      <c r="K11" s="62"/>
      <c r="L11" s="62"/>
      <c r="M11" s="62"/>
      <c r="N11" s="62"/>
    </row>
    <row r="12" spans="1:21">
      <c r="A12" s="62"/>
      <c r="B12" s="62"/>
      <c r="C12" s="62"/>
      <c r="D12" s="62"/>
      <c r="E12" s="62"/>
      <c r="F12" s="63"/>
      <c r="G12" s="62"/>
      <c r="H12" s="62"/>
      <c r="I12" s="102"/>
      <c r="J12" s="62"/>
      <c r="K12" s="62"/>
      <c r="L12" s="62"/>
      <c r="M12" s="62"/>
      <c r="N12" s="62"/>
    </row>
    <row r="13" spans="1:21" ht="15.75">
      <c r="A13" s="109" t="s">
        <v>328</v>
      </c>
      <c r="B13" s="21"/>
      <c r="C13" s="21"/>
      <c r="D13" s="175" t="s">
        <v>329</v>
      </c>
      <c r="E13" s="175"/>
      <c r="F13" s="175"/>
      <c r="G13" s="21"/>
      <c r="H13" s="175" t="s">
        <v>330</v>
      </c>
      <c r="I13" s="175"/>
      <c r="J13" s="175"/>
      <c r="K13" s="21"/>
      <c r="L13" s="100" t="s">
        <v>191</v>
      </c>
      <c r="M13" s="21"/>
      <c r="N13" s="21"/>
      <c r="O13" s="21"/>
      <c r="P13" s="21" t="s">
        <v>331</v>
      </c>
      <c r="Q13" s="21" t="s">
        <v>332</v>
      </c>
      <c r="R13" s="21"/>
      <c r="S13" s="21" t="s">
        <v>333</v>
      </c>
      <c r="T13" s="21"/>
      <c r="U13" s="21" t="s">
        <v>334</v>
      </c>
    </row>
    <row r="14" spans="1:21" ht="15.75">
      <c r="A14" s="110" t="s">
        <v>335</v>
      </c>
      <c r="B14" s="70"/>
      <c r="C14" s="70"/>
      <c r="D14" s="70" t="s">
        <v>336</v>
      </c>
      <c r="E14" s="70" t="s">
        <v>337</v>
      </c>
      <c r="F14" s="70" t="s">
        <v>338</v>
      </c>
      <c r="G14" s="70"/>
      <c r="H14" s="70" t="s">
        <v>339</v>
      </c>
      <c r="I14" s="101" t="s">
        <v>337</v>
      </c>
      <c r="J14" s="70" t="s">
        <v>338</v>
      </c>
      <c r="K14" s="62"/>
      <c r="L14" s="62"/>
      <c r="M14" s="62"/>
      <c r="N14" s="62"/>
    </row>
    <row r="15" spans="1:21" ht="18">
      <c r="A15" s="104" t="s">
        <v>220</v>
      </c>
      <c r="B15" s="104" t="s">
        <v>220</v>
      </c>
      <c r="C15" s="104" t="s">
        <v>220</v>
      </c>
      <c r="D15" s="63">
        <v>21.385000000000002</v>
      </c>
      <c r="E15" s="63">
        <v>21.834</v>
      </c>
      <c r="F15" s="63">
        <v>21.849</v>
      </c>
      <c r="G15" s="62"/>
      <c r="H15" s="62">
        <v>17.963999999999999</v>
      </c>
      <c r="I15" s="102">
        <v>17.23</v>
      </c>
      <c r="J15" s="62">
        <v>17.38</v>
      </c>
      <c r="K15" s="62"/>
      <c r="L15" s="62">
        <f t="shared" ref="L15:N19" si="4">D15-H15</f>
        <v>3.4210000000000029</v>
      </c>
      <c r="M15" s="62">
        <f t="shared" si="4"/>
        <v>4.6039999999999992</v>
      </c>
      <c r="N15" s="62">
        <f t="shared" si="4"/>
        <v>4.4690000000000012</v>
      </c>
      <c r="P15" s="8">
        <f>AVERAGE(L15:N15)</f>
        <v>4.1646666666666681</v>
      </c>
      <c r="Q15" s="8">
        <f>STDEV(L15:N15)</f>
        <v>0.64756183745904439</v>
      </c>
      <c r="S15" s="8">
        <f>P15-P15</f>
        <v>0</v>
      </c>
      <c r="U15" s="8">
        <f>POWER(2,-S15)</f>
        <v>1</v>
      </c>
    </row>
    <row r="16" spans="1:21" ht="18">
      <c r="A16" s="104" t="s">
        <v>221</v>
      </c>
      <c r="B16" s="104" t="s">
        <v>220</v>
      </c>
      <c r="C16" s="104" t="s">
        <v>220</v>
      </c>
      <c r="D16" s="62">
        <v>24.856000000000002</v>
      </c>
      <c r="E16" s="62">
        <v>24.52</v>
      </c>
      <c r="F16" s="63">
        <v>24.905000000000001</v>
      </c>
      <c r="G16" s="62"/>
      <c r="H16" s="62">
        <v>18.13</v>
      </c>
      <c r="I16" s="102">
        <v>18.489999999999998</v>
      </c>
      <c r="J16" s="62">
        <v>18.294</v>
      </c>
      <c r="K16" s="62"/>
      <c r="L16" s="62">
        <f t="shared" si="4"/>
        <v>6.7260000000000026</v>
      </c>
      <c r="M16" s="62">
        <f t="shared" si="4"/>
        <v>6.0300000000000011</v>
      </c>
      <c r="N16" s="62">
        <f t="shared" si="4"/>
        <v>6.6110000000000007</v>
      </c>
      <c r="P16" s="8">
        <f t="shared" ref="P16:P19" si="5">AVERAGE(L16:N16)</f>
        <v>6.4556666666666684</v>
      </c>
      <c r="Q16" s="8">
        <f t="shared" ref="Q16:Q19" si="6">STDEV(L16:N16)</f>
        <v>0.37309560883684184</v>
      </c>
      <c r="S16" s="8">
        <f>P16-P15</f>
        <v>2.2910000000000004</v>
      </c>
      <c r="U16" s="8">
        <f t="shared" ref="U16:U19" si="7">POWER(2,-S16)</f>
        <v>0.20433383212207076</v>
      </c>
    </row>
    <row r="17" spans="1:21" ht="18">
      <c r="A17" s="104" t="s">
        <v>221</v>
      </c>
      <c r="B17" s="104" t="s">
        <v>221</v>
      </c>
      <c r="C17" s="104" t="s">
        <v>220</v>
      </c>
      <c r="D17" s="62">
        <v>24.559000000000001</v>
      </c>
      <c r="E17" s="62">
        <v>24.812000000000001</v>
      </c>
      <c r="F17" s="63">
        <v>24.359000000000002</v>
      </c>
      <c r="G17" s="62"/>
      <c r="H17" s="62">
        <v>19.184000000000001</v>
      </c>
      <c r="I17" s="102">
        <v>19.850000000000001</v>
      </c>
      <c r="J17" s="62">
        <v>19.613</v>
      </c>
      <c r="K17" s="62"/>
      <c r="L17" s="62">
        <f t="shared" si="4"/>
        <v>5.375</v>
      </c>
      <c r="M17" s="62">
        <f t="shared" si="4"/>
        <v>4.9619999999999997</v>
      </c>
      <c r="N17" s="62">
        <f t="shared" si="4"/>
        <v>4.7460000000000022</v>
      </c>
      <c r="P17" s="8">
        <f t="shared" si="5"/>
        <v>5.0276666666666676</v>
      </c>
      <c r="Q17" s="8">
        <f t="shared" si="6"/>
        <v>0.3196002711721827</v>
      </c>
      <c r="S17" s="8">
        <f>P17-P15</f>
        <v>0.86299999999999955</v>
      </c>
      <c r="U17" s="8">
        <f t="shared" si="7"/>
        <v>0.54980807465727588</v>
      </c>
    </row>
    <row r="18" spans="1:21" ht="18">
      <c r="A18" s="104" t="s">
        <v>221</v>
      </c>
      <c r="B18" s="104" t="s">
        <v>220</v>
      </c>
      <c r="C18" s="104" t="s">
        <v>221</v>
      </c>
      <c r="D18" s="62">
        <v>24.039000000000001</v>
      </c>
      <c r="E18" s="62">
        <v>24.300999999999998</v>
      </c>
      <c r="F18" s="63">
        <v>24.692</v>
      </c>
      <c r="G18" s="62"/>
      <c r="H18" s="62">
        <v>19.385000000000002</v>
      </c>
      <c r="I18" s="102">
        <v>19.431999999999999</v>
      </c>
      <c r="J18" s="62">
        <v>19.228000000000002</v>
      </c>
      <c r="K18" s="62"/>
      <c r="L18" s="62">
        <f t="shared" si="4"/>
        <v>4.6539999999999999</v>
      </c>
      <c r="M18" s="62">
        <f t="shared" si="4"/>
        <v>4.8689999999999998</v>
      </c>
      <c r="N18" s="62">
        <f t="shared" si="4"/>
        <v>5.4639999999999986</v>
      </c>
      <c r="P18" s="8">
        <f t="shared" si="5"/>
        <v>4.9956666666666658</v>
      </c>
      <c r="Q18" s="8">
        <f t="shared" si="6"/>
        <v>0.41959305682212233</v>
      </c>
      <c r="S18" s="8">
        <f>P18-P15</f>
        <v>0.83099999999999774</v>
      </c>
      <c r="U18" s="8">
        <f t="shared" si="7"/>
        <v>0.56213946188930974</v>
      </c>
    </row>
    <row r="19" spans="1:21" ht="18">
      <c r="A19" s="104" t="s">
        <v>221</v>
      </c>
      <c r="B19" s="104" t="s">
        <v>221</v>
      </c>
      <c r="C19" s="104" t="s">
        <v>221</v>
      </c>
      <c r="D19" s="62">
        <v>24.204999999999998</v>
      </c>
      <c r="E19" s="62">
        <v>24.55</v>
      </c>
      <c r="F19" s="63">
        <v>24.158999999999999</v>
      </c>
      <c r="G19" s="62"/>
      <c r="H19" s="62">
        <v>19.715</v>
      </c>
      <c r="I19" s="102">
        <v>19.738</v>
      </c>
      <c r="J19" s="62">
        <v>19.635000000000002</v>
      </c>
      <c r="K19" s="62"/>
      <c r="L19" s="62">
        <f t="shared" si="4"/>
        <v>4.4899999999999984</v>
      </c>
      <c r="M19" s="62">
        <f t="shared" si="4"/>
        <v>4.8120000000000012</v>
      </c>
      <c r="N19" s="62">
        <f t="shared" si="4"/>
        <v>4.5239999999999974</v>
      </c>
      <c r="P19" s="8">
        <f t="shared" si="5"/>
        <v>4.6086666666666654</v>
      </c>
      <c r="Q19" s="8">
        <f t="shared" si="6"/>
        <v>0.17691052352342973</v>
      </c>
      <c r="S19" s="8">
        <f>P19-P15</f>
        <v>0.44399999999999729</v>
      </c>
      <c r="U19" s="8">
        <f t="shared" si="7"/>
        <v>0.73509366819452182</v>
      </c>
    </row>
    <row r="20" spans="1:21">
      <c r="A20" s="70"/>
      <c r="B20" s="70"/>
      <c r="C20" s="70"/>
      <c r="D20" s="70"/>
      <c r="E20" s="70"/>
      <c r="F20" s="70"/>
      <c r="G20" s="70"/>
      <c r="H20" s="70"/>
      <c r="I20" s="101"/>
      <c r="J20" s="70"/>
      <c r="K20" s="62"/>
      <c r="L20" s="62"/>
      <c r="M20" s="62"/>
      <c r="N20" s="62"/>
    </row>
    <row r="21" spans="1:21">
      <c r="A21" s="62"/>
      <c r="B21" s="62"/>
      <c r="C21" s="62"/>
      <c r="D21" s="62"/>
      <c r="E21" s="62"/>
      <c r="F21" s="63"/>
      <c r="G21" s="62"/>
      <c r="H21" s="62"/>
      <c r="I21" s="102"/>
      <c r="J21" s="63"/>
      <c r="K21" s="62"/>
      <c r="L21" s="62"/>
      <c r="M21" s="62"/>
      <c r="N21" s="62"/>
    </row>
    <row r="22" spans="1:21" ht="15.75">
      <c r="A22" s="107" t="s">
        <v>340</v>
      </c>
      <c r="B22" s="105"/>
      <c r="C22" s="105"/>
      <c r="D22" s="175" t="s">
        <v>329</v>
      </c>
      <c r="E22" s="175"/>
      <c r="F22" s="175"/>
      <c r="G22" s="21"/>
      <c r="H22" s="175" t="s">
        <v>330</v>
      </c>
      <c r="I22" s="175"/>
      <c r="J22" s="175"/>
      <c r="K22" s="21"/>
      <c r="L22" s="100" t="s">
        <v>191</v>
      </c>
      <c r="M22" s="21"/>
      <c r="N22" s="21"/>
      <c r="O22" s="21"/>
      <c r="P22" s="21" t="s">
        <v>331</v>
      </c>
      <c r="Q22" s="21" t="s">
        <v>332</v>
      </c>
      <c r="R22" s="21"/>
      <c r="S22" s="21" t="s">
        <v>333</v>
      </c>
      <c r="T22" s="21"/>
      <c r="U22" s="21" t="s">
        <v>334</v>
      </c>
    </row>
    <row r="23" spans="1:21" ht="15.75">
      <c r="A23" s="108" t="s">
        <v>335</v>
      </c>
      <c r="B23" s="106"/>
      <c r="C23" s="106"/>
      <c r="D23" s="70" t="s">
        <v>336</v>
      </c>
      <c r="E23" s="70" t="s">
        <v>337</v>
      </c>
      <c r="F23" s="70" t="s">
        <v>338</v>
      </c>
      <c r="G23" s="70"/>
      <c r="H23" s="70" t="s">
        <v>339</v>
      </c>
      <c r="I23" s="101" t="s">
        <v>337</v>
      </c>
      <c r="J23" s="70" t="s">
        <v>338</v>
      </c>
      <c r="K23" s="62"/>
      <c r="L23" s="62"/>
      <c r="M23" s="62"/>
      <c r="N23" s="62"/>
    </row>
    <row r="24" spans="1:21" ht="18">
      <c r="A24" s="104" t="s">
        <v>220</v>
      </c>
      <c r="B24" s="104" t="s">
        <v>220</v>
      </c>
      <c r="C24" s="104" t="s">
        <v>220</v>
      </c>
      <c r="D24" s="63">
        <v>20.059999999999999</v>
      </c>
      <c r="E24" s="63">
        <v>20.933</v>
      </c>
      <c r="F24" s="63">
        <v>20.593</v>
      </c>
      <c r="G24" s="62"/>
      <c r="H24" s="62">
        <v>16.395</v>
      </c>
      <c r="I24" s="102">
        <v>16.11</v>
      </c>
      <c r="J24" s="62">
        <v>16.529</v>
      </c>
      <c r="K24" s="62"/>
      <c r="L24" s="62">
        <f t="shared" ref="L24:N28" si="8">D24-H24</f>
        <v>3.6649999999999991</v>
      </c>
      <c r="M24" s="62">
        <f t="shared" si="8"/>
        <v>4.8230000000000004</v>
      </c>
      <c r="N24" s="62">
        <f t="shared" si="8"/>
        <v>4.0640000000000001</v>
      </c>
      <c r="P24" s="8">
        <f>AVERAGE(L24:N24)</f>
        <v>4.1840000000000002</v>
      </c>
      <c r="Q24" s="8">
        <f>STDEV(L24:N24)</f>
        <v>0.58825249680728353</v>
      </c>
      <c r="S24" s="8">
        <f>P24-P24</f>
        <v>0</v>
      </c>
      <c r="U24" s="8">
        <f>POWER(2,-S24)</f>
        <v>1</v>
      </c>
    </row>
    <row r="25" spans="1:21" ht="18">
      <c r="A25" s="104" t="s">
        <v>221</v>
      </c>
      <c r="B25" s="104" t="s">
        <v>220</v>
      </c>
      <c r="C25" s="104" t="s">
        <v>220</v>
      </c>
      <c r="D25" s="62">
        <v>21.501999999999999</v>
      </c>
      <c r="E25" s="62">
        <v>21.103999999999999</v>
      </c>
      <c r="F25" s="63">
        <v>21.792000000000002</v>
      </c>
      <c r="G25" s="62"/>
      <c r="H25" s="62">
        <v>17.454000000000001</v>
      </c>
      <c r="I25" s="102">
        <v>17.581</v>
      </c>
      <c r="J25" s="62">
        <v>17.344999999999999</v>
      </c>
      <c r="K25" s="62"/>
      <c r="L25" s="62">
        <f t="shared" si="8"/>
        <v>4.0479999999999983</v>
      </c>
      <c r="M25" s="62">
        <f t="shared" si="8"/>
        <v>3.5229999999999997</v>
      </c>
      <c r="N25" s="62">
        <f t="shared" si="8"/>
        <v>4.4470000000000027</v>
      </c>
      <c r="P25" s="8">
        <f t="shared" ref="P25:P28" si="9">AVERAGE(L25:N25)</f>
        <v>4.0060000000000002</v>
      </c>
      <c r="Q25" s="8">
        <f t="shared" ref="Q25:Q28" si="10">STDEV(L25:N25)</f>
        <v>0.46342960630499352</v>
      </c>
      <c r="S25" s="8">
        <f>P25-P24</f>
        <v>-0.17799999999999994</v>
      </c>
      <c r="U25" s="8">
        <f t="shared" ref="U25:U28" si="11">POWER(2,-S25)</f>
        <v>1.1313144628459002</v>
      </c>
    </row>
    <row r="26" spans="1:21" ht="18">
      <c r="A26" s="104" t="s">
        <v>221</v>
      </c>
      <c r="B26" s="104" t="s">
        <v>221</v>
      </c>
      <c r="C26" s="104" t="s">
        <v>220</v>
      </c>
      <c r="D26" s="62">
        <v>20.596</v>
      </c>
      <c r="E26" s="62">
        <v>20.838999999999999</v>
      </c>
      <c r="F26" s="63">
        <v>20.492999999999999</v>
      </c>
      <c r="G26" s="62"/>
      <c r="H26" s="62">
        <v>18.934000000000001</v>
      </c>
      <c r="I26" s="102">
        <v>18.117999999999999</v>
      </c>
      <c r="J26" s="62">
        <v>18.731999999999999</v>
      </c>
      <c r="K26" s="62"/>
      <c r="L26" s="62">
        <f t="shared" si="8"/>
        <v>1.661999999999999</v>
      </c>
      <c r="M26" s="62">
        <f t="shared" si="8"/>
        <v>2.7210000000000001</v>
      </c>
      <c r="N26" s="62">
        <f t="shared" si="8"/>
        <v>1.7609999999999992</v>
      </c>
      <c r="P26" s="8">
        <f t="shared" si="9"/>
        <v>2.0479999999999996</v>
      </c>
      <c r="Q26" s="8">
        <f t="shared" si="10"/>
        <v>0.5849333295342305</v>
      </c>
      <c r="S26" s="8">
        <f>P26-P24</f>
        <v>-2.1360000000000006</v>
      </c>
      <c r="U26" s="8">
        <f t="shared" si="11"/>
        <v>4.3954168703075194</v>
      </c>
    </row>
    <row r="27" spans="1:21" ht="18">
      <c r="A27" s="104" t="s">
        <v>221</v>
      </c>
      <c r="B27" s="104" t="s">
        <v>220</v>
      </c>
      <c r="C27" s="104" t="s">
        <v>221</v>
      </c>
      <c r="D27" s="62">
        <v>21.495000000000001</v>
      </c>
      <c r="E27" s="62">
        <v>21.305</v>
      </c>
      <c r="F27" s="63">
        <v>21.954000000000001</v>
      </c>
      <c r="G27" s="62"/>
      <c r="H27" s="62">
        <v>19.495000000000001</v>
      </c>
      <c r="I27" s="102">
        <v>19.129000000000001</v>
      </c>
      <c r="J27" s="62">
        <v>19.593</v>
      </c>
      <c r="K27" s="62"/>
      <c r="L27" s="62">
        <f t="shared" si="8"/>
        <v>2</v>
      </c>
      <c r="M27" s="62">
        <f t="shared" si="8"/>
        <v>2.1759999999999984</v>
      </c>
      <c r="N27" s="62">
        <f t="shared" si="8"/>
        <v>2.3610000000000007</v>
      </c>
      <c r="P27" s="8">
        <f t="shared" si="9"/>
        <v>2.1789999999999998</v>
      </c>
      <c r="Q27" s="8">
        <f t="shared" si="10"/>
        <v>0.18051869709257301</v>
      </c>
      <c r="S27" s="8">
        <f>P27-P24</f>
        <v>-2.0050000000000003</v>
      </c>
      <c r="U27" s="8">
        <f t="shared" si="11"/>
        <v>4.0138869940380113</v>
      </c>
    </row>
    <row r="28" spans="1:21" ht="18">
      <c r="A28" s="104" t="s">
        <v>221</v>
      </c>
      <c r="B28" s="104" t="s">
        <v>221</v>
      </c>
      <c r="C28" s="104" t="s">
        <v>221</v>
      </c>
      <c r="D28" s="62">
        <v>21.513000000000002</v>
      </c>
      <c r="E28" s="62">
        <v>21.178999999999998</v>
      </c>
      <c r="F28" s="63">
        <v>21.306000000000001</v>
      </c>
      <c r="G28" s="62"/>
      <c r="H28" s="62">
        <v>19.811</v>
      </c>
      <c r="I28" s="102">
        <v>19.690999999999999</v>
      </c>
      <c r="J28" s="62">
        <v>19.542000000000002</v>
      </c>
      <c r="K28" s="62"/>
      <c r="L28" s="62">
        <f t="shared" si="8"/>
        <v>1.7020000000000017</v>
      </c>
      <c r="M28" s="62">
        <f t="shared" si="8"/>
        <v>1.4879999999999995</v>
      </c>
      <c r="N28" s="62">
        <f t="shared" si="8"/>
        <v>1.7639999999999993</v>
      </c>
      <c r="P28" s="8">
        <f t="shared" si="9"/>
        <v>1.6513333333333335</v>
      </c>
      <c r="Q28" s="8">
        <f t="shared" si="10"/>
        <v>0.14480791875216431</v>
      </c>
      <c r="S28" s="8">
        <f>P28-P24</f>
        <v>-2.5326666666666666</v>
      </c>
      <c r="U28" s="8">
        <f t="shared" si="11"/>
        <v>5.7864024461734624</v>
      </c>
    </row>
    <row r="29" spans="1:21">
      <c r="A29" s="62"/>
      <c r="B29" s="62"/>
      <c r="C29" s="62"/>
      <c r="D29" s="62"/>
      <c r="E29" s="62"/>
      <c r="F29" s="63"/>
      <c r="G29" s="62"/>
      <c r="H29" s="62"/>
      <c r="I29" s="102"/>
      <c r="J29" s="63"/>
      <c r="K29" s="62"/>
      <c r="L29" s="62"/>
      <c r="M29" s="62"/>
      <c r="N29" s="62"/>
    </row>
    <row r="30" spans="1:21">
      <c r="A30" s="62"/>
      <c r="B30" s="62"/>
      <c r="C30" s="62"/>
      <c r="D30" s="62"/>
      <c r="E30" s="62"/>
      <c r="F30" s="63"/>
      <c r="G30" s="62"/>
      <c r="H30" s="62"/>
      <c r="I30" s="103"/>
      <c r="J30" s="62"/>
      <c r="K30" s="62"/>
      <c r="L30" s="62"/>
      <c r="M30" s="62"/>
      <c r="N30" s="62"/>
    </row>
    <row r="31" spans="1:21" ht="15.75">
      <c r="A31" s="109" t="s">
        <v>341</v>
      </c>
      <c r="B31" s="21"/>
      <c r="C31" s="21"/>
      <c r="D31" s="175" t="s">
        <v>329</v>
      </c>
      <c r="E31" s="175"/>
      <c r="F31" s="175"/>
      <c r="G31" s="21"/>
      <c r="H31" s="175" t="s">
        <v>330</v>
      </c>
      <c r="I31" s="175"/>
      <c r="J31" s="175"/>
      <c r="K31" s="21"/>
      <c r="L31" s="100" t="s">
        <v>191</v>
      </c>
      <c r="M31" s="21"/>
      <c r="N31" s="21"/>
      <c r="O31" s="21"/>
      <c r="P31" s="21" t="s">
        <v>331</v>
      </c>
      <c r="Q31" s="21" t="s">
        <v>332</v>
      </c>
      <c r="R31" s="21"/>
      <c r="S31" s="21" t="s">
        <v>333</v>
      </c>
      <c r="T31" s="21"/>
      <c r="U31" s="21" t="s">
        <v>334</v>
      </c>
    </row>
    <row r="32" spans="1:21" ht="15.75">
      <c r="A32" s="110" t="s">
        <v>335</v>
      </c>
      <c r="B32" s="70"/>
      <c r="C32" s="70"/>
      <c r="D32" s="70" t="s">
        <v>336</v>
      </c>
      <c r="E32" s="70" t="s">
        <v>337</v>
      </c>
      <c r="F32" s="70" t="s">
        <v>338</v>
      </c>
      <c r="G32" s="70"/>
      <c r="H32" s="70" t="s">
        <v>339</v>
      </c>
      <c r="I32" s="101" t="s">
        <v>337</v>
      </c>
      <c r="J32" s="70" t="s">
        <v>338</v>
      </c>
      <c r="K32" s="62"/>
      <c r="L32" s="62"/>
      <c r="M32" s="62"/>
      <c r="N32" s="62"/>
    </row>
    <row r="33" spans="1:21" ht="18">
      <c r="A33" s="104" t="s">
        <v>220</v>
      </c>
      <c r="B33" s="104" t="s">
        <v>220</v>
      </c>
      <c r="C33" s="104" t="s">
        <v>220</v>
      </c>
      <c r="D33" s="63">
        <v>20.568999999999999</v>
      </c>
      <c r="E33" s="63">
        <v>20.129000000000001</v>
      </c>
      <c r="F33" s="63">
        <v>20.95</v>
      </c>
      <c r="G33" s="62"/>
      <c r="H33" s="62">
        <v>16.823</v>
      </c>
      <c r="I33" s="102">
        <v>16.395</v>
      </c>
      <c r="J33" s="62">
        <v>16.739000000000001</v>
      </c>
      <c r="K33" s="62"/>
      <c r="L33" s="62">
        <f t="shared" ref="L33:N37" si="12">D33-H33</f>
        <v>3.7459999999999987</v>
      </c>
      <c r="M33" s="62">
        <f t="shared" si="12"/>
        <v>3.7340000000000018</v>
      </c>
      <c r="N33" s="62">
        <f t="shared" si="12"/>
        <v>4.2109999999999985</v>
      </c>
      <c r="P33" s="8">
        <f>AVERAGE(L33:N33)</f>
        <v>3.8969999999999998</v>
      </c>
      <c r="Q33" s="8">
        <f>STDEV(L33:N33)</f>
        <v>0.27199816175849323</v>
      </c>
      <c r="S33" s="8">
        <f>P33-P33</f>
        <v>0</v>
      </c>
      <c r="U33" s="8">
        <f>POWER(2,-S33)</f>
        <v>1</v>
      </c>
    </row>
    <row r="34" spans="1:21" ht="18">
      <c r="A34" s="104" t="s">
        <v>221</v>
      </c>
      <c r="B34" s="104" t="s">
        <v>220</v>
      </c>
      <c r="C34" s="104" t="s">
        <v>220</v>
      </c>
      <c r="D34" s="62">
        <v>21.495000000000001</v>
      </c>
      <c r="E34" s="62">
        <v>21.114999999999998</v>
      </c>
      <c r="F34" s="63">
        <v>21.812000000000001</v>
      </c>
      <c r="G34" s="62"/>
      <c r="H34" s="62">
        <v>17.338999999999999</v>
      </c>
      <c r="I34" s="102">
        <v>17.239000000000001</v>
      </c>
      <c r="J34" s="62">
        <v>17.628</v>
      </c>
      <c r="K34" s="62"/>
      <c r="L34" s="62">
        <f t="shared" si="12"/>
        <v>4.1560000000000024</v>
      </c>
      <c r="M34" s="62">
        <f t="shared" si="12"/>
        <v>3.8759999999999977</v>
      </c>
      <c r="N34" s="62">
        <f t="shared" si="12"/>
        <v>4.1840000000000011</v>
      </c>
      <c r="P34" s="8">
        <f t="shared" ref="P34:P37" si="13">AVERAGE(L34:N34)</f>
        <v>4.0720000000000001</v>
      </c>
      <c r="Q34" s="8">
        <f t="shared" ref="Q34:Q37" si="14">STDEV(L34:N34)</f>
        <v>0.17031735084835242</v>
      </c>
      <c r="S34" s="8">
        <f>P34-P33</f>
        <v>0.17500000000000027</v>
      </c>
      <c r="U34" s="8">
        <f t="shared" ref="U34:U37" si="15">POWER(2,-S34)</f>
        <v>0.88576751910236051</v>
      </c>
    </row>
    <row r="35" spans="1:21" ht="18">
      <c r="A35" s="104" t="s">
        <v>221</v>
      </c>
      <c r="B35" s="104" t="s">
        <v>221</v>
      </c>
      <c r="C35" s="104" t="s">
        <v>220</v>
      </c>
      <c r="D35" s="62">
        <v>20.129000000000001</v>
      </c>
      <c r="E35" s="62">
        <v>20.712</v>
      </c>
      <c r="F35" s="63">
        <v>20.550999999999998</v>
      </c>
      <c r="G35" s="62"/>
      <c r="H35" s="62">
        <v>18.523</v>
      </c>
      <c r="I35" s="102">
        <v>18.263999999999999</v>
      </c>
      <c r="J35" s="62">
        <v>18.742000000000001</v>
      </c>
      <c r="K35" s="62"/>
      <c r="L35" s="62">
        <f t="shared" si="12"/>
        <v>1.6060000000000016</v>
      </c>
      <c r="M35" s="62">
        <f t="shared" si="12"/>
        <v>2.4480000000000004</v>
      </c>
      <c r="N35" s="62">
        <f t="shared" si="12"/>
        <v>1.8089999999999975</v>
      </c>
      <c r="P35" s="8">
        <f t="shared" si="13"/>
        <v>1.9543333333333333</v>
      </c>
      <c r="Q35" s="8">
        <f t="shared" si="14"/>
        <v>0.43941134866242693</v>
      </c>
      <c r="S35" s="8">
        <f>P35-P33</f>
        <v>-1.9426666666666665</v>
      </c>
      <c r="U35" s="8">
        <f t="shared" si="15"/>
        <v>3.8441554224420167</v>
      </c>
    </row>
    <row r="36" spans="1:21" ht="18">
      <c r="A36" s="104" t="s">
        <v>221</v>
      </c>
      <c r="B36" s="104" t="s">
        <v>220</v>
      </c>
      <c r="C36" s="104" t="s">
        <v>221</v>
      </c>
      <c r="D36" s="62">
        <v>21.253</v>
      </c>
      <c r="E36" s="62">
        <v>21.338999999999999</v>
      </c>
      <c r="F36" s="63">
        <v>21.712</v>
      </c>
      <c r="G36" s="62"/>
      <c r="H36" s="62">
        <v>19.225000000000001</v>
      </c>
      <c r="I36" s="102">
        <v>19.873000000000001</v>
      </c>
      <c r="J36" s="62">
        <v>19.375</v>
      </c>
      <c r="K36" s="62"/>
      <c r="L36" s="62">
        <f t="shared" si="12"/>
        <v>2.0279999999999987</v>
      </c>
      <c r="M36" s="62">
        <f t="shared" si="12"/>
        <v>1.4659999999999975</v>
      </c>
      <c r="N36" s="62">
        <f t="shared" si="12"/>
        <v>2.3369999999999997</v>
      </c>
      <c r="P36" s="8">
        <f t="shared" si="13"/>
        <v>1.9436666666666653</v>
      </c>
      <c r="Q36" s="8">
        <f t="shared" si="14"/>
        <v>0.4415816270332526</v>
      </c>
      <c r="S36" s="8">
        <f>P36-P33</f>
        <v>-1.9533333333333345</v>
      </c>
      <c r="U36" s="8">
        <f t="shared" si="15"/>
        <v>3.8726827839315354</v>
      </c>
    </row>
    <row r="37" spans="1:21" ht="18">
      <c r="A37" s="104" t="s">
        <v>221</v>
      </c>
      <c r="B37" s="104" t="s">
        <v>221</v>
      </c>
      <c r="C37" s="104" t="s">
        <v>221</v>
      </c>
      <c r="D37" s="62">
        <v>21.195</v>
      </c>
      <c r="E37" s="62">
        <v>21.163</v>
      </c>
      <c r="F37" s="63">
        <v>21.634</v>
      </c>
      <c r="G37" s="62"/>
      <c r="H37" s="62">
        <v>20.54</v>
      </c>
      <c r="I37" s="102">
        <v>20.344000000000001</v>
      </c>
      <c r="J37" s="62">
        <v>20.411000000000001</v>
      </c>
      <c r="K37" s="62"/>
      <c r="L37" s="62">
        <f t="shared" si="12"/>
        <v>0.65500000000000114</v>
      </c>
      <c r="M37" s="62">
        <f t="shared" si="12"/>
        <v>0.81899999999999906</v>
      </c>
      <c r="N37" s="62">
        <f t="shared" si="12"/>
        <v>1.222999999999999</v>
      </c>
      <c r="P37" s="8">
        <f t="shared" si="13"/>
        <v>0.89899999999999969</v>
      </c>
      <c r="Q37" s="8">
        <f t="shared" si="14"/>
        <v>0.29232858224949421</v>
      </c>
      <c r="S37" s="8">
        <f>P37-P33</f>
        <v>-2.9980000000000002</v>
      </c>
      <c r="U37" s="8">
        <f t="shared" si="15"/>
        <v>7.988917328808232</v>
      </c>
    </row>
    <row r="38" spans="1:21">
      <c r="A38" s="62"/>
      <c r="B38" s="62"/>
      <c r="C38" s="62"/>
      <c r="D38" s="62"/>
      <c r="E38" s="62"/>
      <c r="F38" s="63"/>
      <c r="G38" s="62"/>
      <c r="H38" s="62"/>
      <c r="I38" s="102"/>
      <c r="J38" s="63"/>
      <c r="K38" s="62"/>
      <c r="L38" s="62"/>
      <c r="M38" s="62"/>
      <c r="N38" s="62"/>
    </row>
    <row r="39" spans="1:21">
      <c r="A39" s="62"/>
      <c r="B39" s="62"/>
      <c r="C39" s="62"/>
      <c r="D39" s="62"/>
      <c r="E39" s="62"/>
      <c r="F39" s="63"/>
      <c r="G39" s="62"/>
      <c r="H39" s="62"/>
      <c r="I39" s="102"/>
      <c r="J39" s="63"/>
      <c r="K39" s="62"/>
      <c r="L39" s="62"/>
      <c r="M39" s="62"/>
      <c r="N39" s="62"/>
    </row>
    <row r="40" spans="1:21">
      <c r="A40" s="62"/>
      <c r="B40" s="62"/>
      <c r="C40" s="62"/>
      <c r="D40" s="62"/>
      <c r="E40" s="62"/>
      <c r="F40" s="62"/>
      <c r="G40" s="62"/>
      <c r="H40" s="62"/>
      <c r="I40" s="102"/>
      <c r="J40" s="62"/>
      <c r="K40" s="62"/>
      <c r="L40" s="62"/>
      <c r="M40" s="62"/>
      <c r="N40" s="62"/>
    </row>
    <row r="41" spans="1:21">
      <c r="A41" s="62"/>
      <c r="B41" s="62"/>
      <c r="C41" s="62"/>
      <c r="D41" s="62"/>
      <c r="E41" s="62"/>
      <c r="F41" s="62"/>
      <c r="G41" s="62"/>
      <c r="H41" s="62"/>
      <c r="I41" s="102"/>
      <c r="J41" s="62"/>
      <c r="K41" s="62"/>
      <c r="L41" s="62"/>
      <c r="M41" s="62"/>
      <c r="N41" s="62"/>
    </row>
    <row r="42" spans="1:21">
      <c r="A42" s="70"/>
      <c r="B42" s="70"/>
      <c r="C42" s="70"/>
      <c r="D42" s="70"/>
      <c r="E42" s="70"/>
      <c r="F42" s="70"/>
      <c r="G42" s="70"/>
      <c r="H42" s="70"/>
      <c r="I42" s="101"/>
      <c r="J42" s="70"/>
      <c r="K42" s="62"/>
      <c r="L42" s="62"/>
      <c r="M42" s="62"/>
      <c r="N42" s="62"/>
    </row>
    <row r="43" spans="1:21">
      <c r="A43" s="62"/>
      <c r="B43" s="62"/>
      <c r="C43" s="62"/>
      <c r="D43" s="63"/>
      <c r="E43" s="63"/>
      <c r="F43" s="63"/>
      <c r="G43" s="62"/>
      <c r="H43" s="62"/>
      <c r="I43" s="102"/>
      <c r="J43" s="62"/>
      <c r="K43" s="62"/>
      <c r="L43" s="62"/>
      <c r="M43" s="62"/>
      <c r="N43" s="62"/>
    </row>
    <row r="44" spans="1:21">
      <c r="A44" s="62"/>
      <c r="B44" s="62"/>
      <c r="C44" s="62"/>
      <c r="D44" s="62"/>
      <c r="E44" s="62"/>
      <c r="F44" s="63"/>
      <c r="G44" s="62"/>
      <c r="H44" s="62"/>
      <c r="I44" s="102"/>
      <c r="J44" s="63"/>
      <c r="K44" s="62"/>
      <c r="L44" s="62"/>
      <c r="M44" s="62"/>
      <c r="N44" s="62"/>
    </row>
    <row r="45" spans="1:21">
      <c r="A45" s="62"/>
      <c r="B45" s="62"/>
      <c r="C45" s="62"/>
      <c r="D45" s="62"/>
      <c r="E45" s="62"/>
      <c r="F45" s="62"/>
      <c r="G45" s="62"/>
      <c r="H45" s="62"/>
      <c r="I45" s="102"/>
      <c r="J45" s="62"/>
      <c r="K45" s="62"/>
      <c r="L45" s="62"/>
      <c r="M45" s="62"/>
      <c r="N45" s="62"/>
    </row>
    <row r="46" spans="1:21">
      <c r="A46" s="62"/>
      <c r="B46" s="62"/>
      <c r="C46" s="62"/>
      <c r="D46" s="62"/>
      <c r="E46" s="62"/>
      <c r="F46" s="62"/>
      <c r="G46" s="62"/>
      <c r="H46" s="62"/>
      <c r="I46" s="102"/>
      <c r="J46" s="62"/>
      <c r="K46" s="62"/>
      <c r="L46" s="62"/>
      <c r="M46" s="62"/>
      <c r="N46" s="62"/>
    </row>
    <row r="47" spans="1:21">
      <c r="A47" s="70"/>
      <c r="B47" s="70"/>
      <c r="C47" s="70"/>
      <c r="D47" s="70"/>
      <c r="E47" s="70"/>
      <c r="F47" s="70"/>
      <c r="G47" s="70"/>
      <c r="H47" s="70"/>
      <c r="I47" s="101"/>
      <c r="J47" s="70"/>
      <c r="K47" s="62"/>
      <c r="L47" s="62"/>
      <c r="M47" s="62"/>
      <c r="N47" s="62"/>
    </row>
    <row r="48" spans="1:21">
      <c r="A48" s="62"/>
      <c r="B48" s="62"/>
      <c r="C48" s="62"/>
      <c r="D48" s="63"/>
      <c r="E48" s="63"/>
      <c r="F48" s="63"/>
      <c r="G48" s="62"/>
      <c r="H48" s="62"/>
      <c r="I48" s="102"/>
      <c r="J48" s="62"/>
      <c r="K48" s="62"/>
      <c r="L48" s="62"/>
      <c r="M48" s="62"/>
      <c r="N48" s="62"/>
    </row>
    <row r="49" spans="1:14">
      <c r="A49" s="62"/>
      <c r="B49" s="62"/>
      <c r="C49" s="62"/>
      <c r="D49" s="62"/>
      <c r="E49" s="62"/>
      <c r="F49" s="63"/>
      <c r="G49" s="62"/>
      <c r="H49" s="62"/>
      <c r="I49" s="102"/>
      <c r="J49" s="63"/>
      <c r="K49" s="62"/>
      <c r="L49" s="62"/>
      <c r="M49" s="62"/>
      <c r="N49" s="62"/>
    </row>
    <row r="50" spans="1:14">
      <c r="A50" s="62"/>
      <c r="B50" s="62"/>
      <c r="C50" s="62"/>
      <c r="D50" s="62"/>
      <c r="E50" s="62"/>
      <c r="F50" s="62"/>
      <c r="G50" s="62"/>
      <c r="H50" s="62"/>
      <c r="I50" s="102"/>
      <c r="J50" s="62"/>
      <c r="K50" s="62"/>
      <c r="L50" s="62"/>
      <c r="M50" s="62"/>
      <c r="N50" s="62"/>
    </row>
    <row r="51" spans="1:14">
      <c r="A51" s="62"/>
      <c r="B51" s="62"/>
      <c r="C51" s="62"/>
      <c r="D51" s="62"/>
      <c r="E51" s="62"/>
      <c r="F51" s="62"/>
      <c r="G51" s="62"/>
      <c r="H51" s="62"/>
      <c r="I51" s="102"/>
      <c r="J51" s="62"/>
      <c r="K51" s="62"/>
      <c r="L51" s="62"/>
      <c r="M51" s="62"/>
      <c r="N51" s="62"/>
    </row>
    <row r="52" spans="1:14">
      <c r="A52" s="70"/>
      <c r="B52" s="70"/>
      <c r="C52" s="70"/>
      <c r="D52" s="70"/>
      <c r="E52" s="70"/>
      <c r="F52" s="70"/>
      <c r="G52" s="70"/>
      <c r="H52" s="70"/>
      <c r="I52" s="101"/>
      <c r="J52" s="70"/>
      <c r="K52" s="62"/>
      <c r="L52" s="62"/>
      <c r="M52" s="62"/>
      <c r="N52" s="62"/>
    </row>
    <row r="53" spans="1:14">
      <c r="A53" s="62"/>
      <c r="B53" s="62"/>
      <c r="C53" s="62"/>
      <c r="D53" s="63"/>
      <c r="E53" s="63"/>
      <c r="F53" s="63"/>
      <c r="G53" s="62"/>
      <c r="H53" s="62"/>
      <c r="I53" s="102"/>
      <c r="J53" s="62"/>
      <c r="K53" s="62"/>
      <c r="L53" s="62"/>
      <c r="M53" s="62"/>
      <c r="N53" s="62"/>
    </row>
    <row r="54" spans="1:14">
      <c r="A54" s="62"/>
      <c r="B54" s="62"/>
      <c r="C54" s="62"/>
      <c r="D54" s="62"/>
      <c r="E54" s="62"/>
      <c r="F54" s="63"/>
      <c r="G54" s="62"/>
      <c r="H54" s="62"/>
      <c r="I54" s="102"/>
      <c r="J54" s="63"/>
      <c r="K54" s="62"/>
      <c r="L54" s="62"/>
      <c r="M54" s="62"/>
      <c r="N54" s="62"/>
    </row>
    <row r="55" spans="1:14">
      <c r="A55" s="62"/>
      <c r="B55" s="62"/>
      <c r="C55" s="62"/>
      <c r="D55" s="62"/>
      <c r="E55" s="62"/>
      <c r="F55" s="62"/>
      <c r="G55" s="62"/>
      <c r="H55" s="62"/>
      <c r="I55" s="102"/>
      <c r="J55" s="62"/>
      <c r="K55" s="62"/>
      <c r="L55" s="62"/>
      <c r="M55" s="62"/>
      <c r="N55" s="62"/>
    </row>
    <row r="56" spans="1:14">
      <c r="A56" s="62"/>
      <c r="B56" s="62"/>
      <c r="C56" s="62"/>
      <c r="D56" s="62"/>
      <c r="E56" s="62"/>
      <c r="F56" s="62"/>
      <c r="G56" s="62"/>
      <c r="H56" s="62"/>
      <c r="I56" s="102"/>
      <c r="J56" s="62"/>
      <c r="K56" s="62"/>
      <c r="L56" s="62"/>
      <c r="M56" s="62"/>
      <c r="N56" s="62"/>
    </row>
    <row r="57" spans="1:14">
      <c r="A57" s="70"/>
      <c r="B57" s="70"/>
      <c r="C57" s="70"/>
      <c r="D57" s="70"/>
      <c r="E57" s="70"/>
      <c r="F57" s="70"/>
      <c r="G57" s="70"/>
      <c r="H57" s="70"/>
      <c r="I57" s="101"/>
      <c r="J57" s="70"/>
      <c r="K57" s="62"/>
      <c r="L57" s="62"/>
      <c r="M57" s="62"/>
      <c r="N57" s="62"/>
    </row>
    <row r="58" spans="1:14">
      <c r="A58" s="62"/>
      <c r="B58" s="62"/>
      <c r="C58" s="62"/>
      <c r="D58" s="63"/>
      <c r="E58" s="63"/>
      <c r="F58" s="63"/>
      <c r="G58" s="62"/>
      <c r="H58" s="62"/>
      <c r="I58" s="102"/>
      <c r="J58" s="62"/>
      <c r="K58" s="62"/>
      <c r="L58" s="62"/>
      <c r="M58" s="62"/>
      <c r="N58" s="62"/>
    </row>
    <row r="59" spans="1:14">
      <c r="A59" s="62"/>
      <c r="B59" s="62"/>
      <c r="C59" s="62"/>
      <c r="D59" s="62"/>
      <c r="E59" s="62"/>
      <c r="F59" s="63"/>
      <c r="G59" s="62"/>
      <c r="H59" s="62"/>
      <c r="I59" s="102"/>
      <c r="J59" s="63"/>
      <c r="K59" s="62"/>
      <c r="L59" s="62"/>
      <c r="M59" s="62"/>
      <c r="N59" s="62"/>
    </row>
    <row r="60" spans="1:14">
      <c r="A60" s="62"/>
      <c r="B60" s="62"/>
      <c r="C60" s="62"/>
      <c r="D60" s="62"/>
      <c r="E60" s="62"/>
      <c r="F60" s="62"/>
      <c r="G60" s="62"/>
      <c r="H60" s="62"/>
      <c r="I60" s="102"/>
      <c r="J60" s="62"/>
      <c r="K60" s="62"/>
      <c r="L60" s="62"/>
      <c r="M60" s="62"/>
      <c r="N60" s="62"/>
    </row>
    <row r="61" spans="1:14">
      <c r="A61" s="62"/>
      <c r="B61" s="62"/>
      <c r="C61" s="62"/>
      <c r="D61" s="62"/>
      <c r="E61" s="62"/>
      <c r="F61" s="62"/>
      <c r="G61" s="62"/>
      <c r="H61" s="62"/>
      <c r="I61" s="102"/>
      <c r="J61" s="62"/>
      <c r="K61" s="62"/>
      <c r="L61" s="62"/>
      <c r="M61" s="62"/>
      <c r="N61" s="62"/>
    </row>
    <row r="62" spans="1:14">
      <c r="A62" s="70"/>
      <c r="B62" s="70"/>
      <c r="C62" s="70"/>
      <c r="D62" s="70"/>
      <c r="E62" s="70"/>
      <c r="F62" s="70"/>
      <c r="G62" s="70"/>
      <c r="H62" s="70"/>
      <c r="I62" s="101"/>
      <c r="J62" s="70"/>
      <c r="K62" s="62"/>
      <c r="L62" s="62"/>
      <c r="M62" s="62"/>
      <c r="N62" s="62"/>
    </row>
    <row r="63" spans="1:14">
      <c r="A63" s="62"/>
      <c r="B63" s="62"/>
      <c r="C63" s="62"/>
      <c r="D63" s="63"/>
      <c r="E63" s="63"/>
      <c r="F63" s="63"/>
      <c r="G63" s="62"/>
      <c r="H63" s="62"/>
      <c r="I63" s="102"/>
      <c r="J63" s="62"/>
      <c r="K63" s="62"/>
      <c r="L63" s="62"/>
      <c r="M63" s="62"/>
      <c r="N63" s="62"/>
    </row>
    <row r="64" spans="1:14">
      <c r="A64" s="62"/>
      <c r="B64" s="62"/>
      <c r="C64" s="62"/>
      <c r="D64" s="62"/>
      <c r="E64" s="62"/>
      <c r="F64" s="63"/>
      <c r="G64" s="62"/>
      <c r="H64" s="62"/>
      <c r="I64" s="102"/>
      <c r="J64" s="63"/>
      <c r="K64" s="62"/>
      <c r="L64" s="62"/>
      <c r="M64" s="62"/>
      <c r="N64" s="62"/>
    </row>
    <row r="65" spans="1:14">
      <c r="A65" s="62"/>
      <c r="B65" s="62"/>
      <c r="C65" s="62"/>
      <c r="D65" s="62"/>
      <c r="E65" s="62"/>
      <c r="F65" s="62"/>
      <c r="G65" s="62"/>
      <c r="H65" s="62"/>
      <c r="I65" s="102"/>
      <c r="J65" s="62"/>
      <c r="K65" s="62"/>
      <c r="L65" s="62"/>
      <c r="M65" s="62"/>
      <c r="N65" s="62"/>
    </row>
    <row r="66" spans="1:14">
      <c r="A66" s="62"/>
      <c r="B66" s="62"/>
      <c r="C66" s="62"/>
      <c r="D66" s="62"/>
      <c r="E66" s="62"/>
      <c r="F66" s="62"/>
      <c r="G66" s="62"/>
      <c r="H66" s="62"/>
      <c r="I66" s="102"/>
      <c r="J66" s="62"/>
      <c r="K66" s="62"/>
      <c r="L66" s="62"/>
      <c r="M66" s="62"/>
      <c r="N66" s="62"/>
    </row>
    <row r="67" spans="1:14">
      <c r="A67" s="70"/>
      <c r="B67" s="70"/>
      <c r="C67" s="70"/>
      <c r="D67" s="70"/>
      <c r="E67" s="70"/>
      <c r="F67" s="70"/>
      <c r="G67" s="70"/>
      <c r="H67" s="70"/>
      <c r="I67" s="101"/>
      <c r="J67" s="70"/>
      <c r="K67" s="62"/>
      <c r="L67" s="62"/>
      <c r="M67" s="62"/>
      <c r="N67" s="62"/>
    </row>
    <row r="68" spans="1:14">
      <c r="A68" s="62"/>
      <c r="B68" s="62"/>
      <c r="C68" s="62"/>
      <c r="D68" s="63"/>
      <c r="E68" s="63"/>
      <c r="F68" s="63"/>
      <c r="G68" s="62"/>
      <c r="H68" s="62"/>
      <c r="I68" s="102"/>
      <c r="J68" s="62"/>
      <c r="K68" s="62"/>
      <c r="L68" s="62"/>
      <c r="M68" s="62"/>
      <c r="N68" s="62"/>
    </row>
    <row r="69" spans="1:14">
      <c r="A69" s="62"/>
      <c r="B69" s="62"/>
      <c r="C69" s="62"/>
      <c r="D69" s="62"/>
      <c r="E69" s="62"/>
      <c r="F69" s="63"/>
      <c r="G69" s="62"/>
      <c r="H69" s="62"/>
      <c r="I69" s="102"/>
      <c r="J69" s="63"/>
      <c r="K69" s="62"/>
      <c r="L69" s="62"/>
      <c r="M69" s="62"/>
      <c r="N69" s="62"/>
    </row>
    <row r="70" spans="1:14">
      <c r="A70" s="62"/>
      <c r="B70" s="62"/>
      <c r="C70" s="62"/>
      <c r="D70" s="62"/>
      <c r="E70" s="62"/>
      <c r="F70" s="62"/>
      <c r="G70" s="62"/>
      <c r="H70" s="62"/>
      <c r="I70" s="102"/>
      <c r="J70" s="62"/>
      <c r="K70" s="62"/>
      <c r="L70" s="62"/>
      <c r="M70" s="62"/>
      <c r="N70" s="62"/>
    </row>
    <row r="71" spans="1:14">
      <c r="A71" s="62"/>
      <c r="B71" s="62"/>
      <c r="C71" s="62"/>
      <c r="D71" s="62"/>
      <c r="E71" s="62"/>
      <c r="F71" s="62"/>
      <c r="G71" s="62"/>
      <c r="H71" s="62"/>
      <c r="I71" s="102"/>
      <c r="J71" s="62"/>
      <c r="K71" s="62"/>
      <c r="L71" s="62"/>
      <c r="M71" s="62"/>
      <c r="N71" s="62"/>
    </row>
    <row r="72" spans="1:14">
      <c r="A72" s="62"/>
      <c r="B72" s="62"/>
      <c r="C72" s="62"/>
      <c r="D72" s="62"/>
      <c r="E72" s="62"/>
      <c r="F72" s="62"/>
      <c r="G72" s="62"/>
      <c r="H72" s="62"/>
      <c r="I72" s="102"/>
      <c r="J72" s="62"/>
      <c r="K72" s="62"/>
      <c r="L72" s="62"/>
      <c r="M72" s="62"/>
      <c r="N72" s="62"/>
    </row>
    <row r="73" spans="1:14">
      <c r="A73" s="62"/>
      <c r="B73" s="62"/>
      <c r="C73" s="62"/>
      <c r="D73" s="62"/>
      <c r="E73" s="62"/>
      <c r="F73" s="62"/>
      <c r="G73" s="62"/>
      <c r="H73" s="62"/>
      <c r="I73" s="102"/>
      <c r="J73" s="62"/>
      <c r="K73" s="62"/>
      <c r="L73" s="62"/>
      <c r="M73" s="62"/>
      <c r="N73" s="62"/>
    </row>
    <row r="74" spans="1:14">
      <c r="A74" s="62"/>
      <c r="B74" s="62"/>
      <c r="C74" s="62"/>
      <c r="D74" s="62"/>
      <c r="E74" s="62"/>
      <c r="F74" s="62"/>
      <c r="G74" s="62"/>
      <c r="H74" s="62"/>
      <c r="I74" s="102"/>
      <c r="J74" s="62"/>
      <c r="K74" s="62"/>
      <c r="L74" s="62"/>
      <c r="M74" s="62"/>
      <c r="N74" s="62"/>
    </row>
    <row r="75" spans="1:14">
      <c r="A75" s="62"/>
      <c r="B75" s="62"/>
      <c r="C75" s="62"/>
      <c r="D75" s="62"/>
      <c r="E75" s="62"/>
      <c r="F75" s="62"/>
      <c r="G75" s="62"/>
      <c r="H75" s="62"/>
      <c r="I75" s="102"/>
      <c r="J75" s="62"/>
      <c r="K75" s="62"/>
      <c r="L75" s="62"/>
      <c r="M75" s="62"/>
      <c r="N75" s="62"/>
    </row>
    <row r="76" spans="1:14">
      <c r="A76" s="62"/>
      <c r="B76" s="62"/>
      <c r="C76" s="62"/>
      <c r="D76" s="62"/>
      <c r="E76" s="62"/>
      <c r="F76" s="62"/>
      <c r="G76" s="62"/>
      <c r="H76" s="62"/>
      <c r="I76" s="102"/>
      <c r="J76" s="62"/>
      <c r="K76" s="62"/>
      <c r="L76" s="62"/>
      <c r="M76" s="62"/>
      <c r="N76" s="62"/>
    </row>
    <row r="77" spans="1:14">
      <c r="A77" s="62"/>
      <c r="B77" s="62"/>
      <c r="C77" s="62"/>
      <c r="D77" s="62"/>
      <c r="E77" s="62"/>
      <c r="F77" s="62"/>
      <c r="G77" s="62"/>
      <c r="H77" s="62"/>
      <c r="I77" s="102"/>
      <c r="J77" s="62"/>
      <c r="K77" s="62"/>
      <c r="L77" s="62"/>
      <c r="M77" s="62"/>
      <c r="N77" s="62"/>
    </row>
    <row r="78" spans="1:14">
      <c r="A78" s="62"/>
      <c r="B78" s="62"/>
      <c r="C78" s="62"/>
      <c r="D78" s="62"/>
      <c r="E78" s="62"/>
      <c r="F78" s="62"/>
      <c r="G78" s="62"/>
      <c r="H78" s="62"/>
      <c r="I78" s="102"/>
      <c r="J78" s="63"/>
      <c r="K78" s="63"/>
      <c r="L78" s="63"/>
      <c r="M78" s="62"/>
      <c r="N78" s="62"/>
    </row>
    <row r="79" spans="1:14">
      <c r="A79" s="62"/>
      <c r="B79" s="62"/>
      <c r="C79" s="62"/>
      <c r="D79" s="62"/>
      <c r="E79" s="62"/>
      <c r="F79" s="62"/>
      <c r="G79" s="62"/>
      <c r="H79" s="62"/>
      <c r="I79" s="102"/>
      <c r="J79" s="62"/>
      <c r="K79" s="62"/>
      <c r="L79" s="62"/>
      <c r="M79" s="62"/>
      <c r="N79" s="62"/>
    </row>
    <row r="80" spans="1:14">
      <c r="A80" s="62"/>
      <c r="B80" s="62"/>
      <c r="C80" s="62"/>
      <c r="D80" s="62"/>
      <c r="E80" s="62"/>
      <c r="F80" s="62"/>
      <c r="G80" s="62"/>
      <c r="H80" s="62"/>
      <c r="I80" s="102"/>
      <c r="J80" s="62"/>
      <c r="K80" s="62"/>
      <c r="L80" s="62"/>
      <c r="M80" s="62"/>
      <c r="N80" s="62"/>
    </row>
    <row r="81" spans="1:14">
      <c r="A81" s="62"/>
      <c r="B81" s="62"/>
      <c r="C81" s="62"/>
      <c r="D81" s="62"/>
      <c r="E81" s="62"/>
      <c r="F81" s="62"/>
      <c r="G81" s="62"/>
      <c r="H81" s="62"/>
      <c r="I81" s="102"/>
      <c r="J81" s="62"/>
      <c r="K81" s="62"/>
      <c r="L81" s="62"/>
      <c r="M81" s="62"/>
      <c r="N81" s="62"/>
    </row>
    <row r="82" spans="1:14">
      <c r="A82" s="62"/>
      <c r="B82" s="62"/>
      <c r="C82" s="62"/>
      <c r="D82" s="62"/>
      <c r="E82" s="62"/>
      <c r="F82" s="62"/>
      <c r="G82" s="62"/>
      <c r="H82" s="62"/>
      <c r="I82" s="102"/>
      <c r="J82" s="62"/>
      <c r="K82" s="62"/>
      <c r="L82" s="62"/>
      <c r="M82" s="62"/>
      <c r="N82" s="62"/>
    </row>
    <row r="83" spans="1:14">
      <c r="A83" s="62"/>
      <c r="B83" s="62"/>
      <c r="C83" s="62"/>
      <c r="D83" s="62"/>
      <c r="E83" s="62"/>
      <c r="F83" s="62"/>
      <c r="G83" s="62"/>
      <c r="H83" s="62"/>
      <c r="I83" s="102"/>
      <c r="J83" s="62"/>
      <c r="K83" s="62"/>
      <c r="L83" s="62"/>
      <c r="M83" s="62"/>
      <c r="N83" s="62"/>
    </row>
    <row r="84" spans="1:14">
      <c r="A84" s="62"/>
      <c r="B84" s="62"/>
      <c r="C84" s="62"/>
      <c r="D84" s="62"/>
      <c r="E84" s="62"/>
      <c r="F84" s="62"/>
      <c r="G84" s="62"/>
      <c r="H84" s="62"/>
      <c r="I84" s="102"/>
      <c r="J84" s="62"/>
      <c r="K84" s="62"/>
      <c r="L84" s="62"/>
      <c r="M84" s="62"/>
      <c r="N84" s="62"/>
    </row>
    <row r="85" spans="1:14">
      <c r="A85" s="62"/>
      <c r="B85" s="62"/>
      <c r="C85" s="62"/>
      <c r="D85" s="62"/>
      <c r="E85" s="62"/>
      <c r="F85" s="62"/>
      <c r="G85" s="62"/>
      <c r="H85" s="62"/>
      <c r="I85" s="102"/>
      <c r="J85" s="62"/>
      <c r="K85" s="62"/>
      <c r="L85" s="62"/>
      <c r="M85" s="62"/>
      <c r="N85" s="62"/>
    </row>
    <row r="86" spans="1:14">
      <c r="A86" s="70"/>
      <c r="B86" s="70"/>
      <c r="C86" s="70"/>
      <c r="D86" s="70"/>
      <c r="E86" s="70"/>
      <c r="F86" s="70"/>
      <c r="G86" s="70"/>
      <c r="H86" s="70"/>
      <c r="I86" s="101"/>
      <c r="J86" s="70"/>
      <c r="K86" s="62"/>
      <c r="L86" s="62"/>
      <c r="M86" s="62"/>
      <c r="N86" s="62"/>
    </row>
    <row r="87" spans="1:14">
      <c r="A87" s="62"/>
      <c r="B87" s="62"/>
      <c r="C87" s="62"/>
      <c r="D87" s="63"/>
      <c r="E87" s="63"/>
      <c r="F87" s="63"/>
      <c r="G87" s="62"/>
      <c r="H87" s="62"/>
      <c r="I87" s="102"/>
      <c r="J87" s="62"/>
      <c r="K87" s="62"/>
      <c r="L87" s="62"/>
      <c r="M87" s="62"/>
      <c r="N87" s="62"/>
    </row>
    <row r="88" spans="1:14">
      <c r="A88" s="62"/>
      <c r="B88" s="62"/>
      <c r="C88" s="62"/>
      <c r="D88" s="62"/>
      <c r="E88" s="62"/>
      <c r="F88" s="63"/>
      <c r="G88" s="62"/>
      <c r="H88" s="62"/>
      <c r="I88" s="102"/>
      <c r="J88" s="63"/>
      <c r="K88" s="62"/>
      <c r="L88" s="62"/>
      <c r="M88" s="62"/>
      <c r="N88" s="62"/>
    </row>
    <row r="89" spans="1:14">
      <c r="A89" s="62"/>
      <c r="B89" s="62"/>
      <c r="C89" s="62"/>
      <c r="D89" s="62"/>
      <c r="E89" s="62"/>
      <c r="F89" s="62"/>
      <c r="G89" s="62"/>
      <c r="H89" s="62"/>
      <c r="I89" s="102"/>
      <c r="J89" s="62"/>
      <c r="K89" s="62"/>
      <c r="L89" s="62"/>
      <c r="M89" s="62"/>
      <c r="N89" s="62"/>
    </row>
    <row r="90" spans="1:14">
      <c r="A90" s="70"/>
      <c r="B90" s="70"/>
      <c r="C90" s="70"/>
      <c r="D90" s="70"/>
      <c r="E90" s="70"/>
      <c r="F90" s="70"/>
      <c r="G90" s="70"/>
      <c r="H90" s="70"/>
      <c r="I90" s="101"/>
      <c r="J90" s="70"/>
      <c r="K90" s="62"/>
      <c r="L90" s="62"/>
      <c r="M90" s="62"/>
      <c r="N90" s="62"/>
    </row>
    <row r="91" spans="1:14">
      <c r="A91" s="62"/>
      <c r="B91" s="62"/>
      <c r="C91" s="62"/>
      <c r="D91" s="62"/>
      <c r="E91" s="62"/>
      <c r="F91" s="63"/>
      <c r="G91" s="62"/>
      <c r="H91" s="62"/>
      <c r="I91" s="102"/>
      <c r="J91" s="62"/>
      <c r="K91" s="62"/>
      <c r="L91" s="62"/>
      <c r="M91" s="62"/>
      <c r="N91" s="62"/>
    </row>
    <row r="92" spans="1:14">
      <c r="A92" s="62"/>
      <c r="B92" s="62"/>
      <c r="C92" s="62"/>
      <c r="D92" s="62"/>
      <c r="E92" s="62"/>
      <c r="F92" s="63"/>
      <c r="G92" s="62"/>
      <c r="H92" s="62"/>
      <c r="I92" s="102"/>
      <c r="J92" s="63"/>
      <c r="K92" s="62"/>
      <c r="L92" s="62"/>
      <c r="M92" s="62"/>
      <c r="N92" s="62"/>
    </row>
    <row r="93" spans="1:14">
      <c r="A93" s="62"/>
      <c r="B93" s="62"/>
      <c r="C93" s="62"/>
      <c r="D93" s="62"/>
      <c r="E93" s="62"/>
      <c r="F93" s="62"/>
      <c r="G93" s="62"/>
      <c r="H93" s="62"/>
      <c r="I93" s="102"/>
      <c r="J93" s="62"/>
      <c r="K93" s="62"/>
      <c r="L93" s="62"/>
      <c r="M93" s="62"/>
      <c r="N93" s="62"/>
    </row>
    <row r="94" spans="1:14">
      <c r="A94" s="62"/>
      <c r="B94" s="62"/>
      <c r="C94" s="62"/>
      <c r="D94" s="62"/>
      <c r="E94" s="62"/>
      <c r="F94" s="62"/>
      <c r="G94" s="62"/>
      <c r="H94" s="62"/>
      <c r="I94" s="102"/>
      <c r="J94" s="62"/>
      <c r="K94" s="62"/>
      <c r="L94" s="62"/>
      <c r="M94" s="62"/>
      <c r="N94" s="62"/>
    </row>
  </sheetData>
  <mergeCells count="8">
    <mergeCell ref="D31:F31"/>
    <mergeCell ref="H31:J31"/>
    <mergeCell ref="D4:F4"/>
    <mergeCell ref="H4:J4"/>
    <mergeCell ref="D13:F13"/>
    <mergeCell ref="H13:J13"/>
    <mergeCell ref="D22:F22"/>
    <mergeCell ref="H22:J22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/>
  </sheetViews>
  <sheetFormatPr defaultRowHeight="15"/>
  <cols>
    <col min="2" max="2" width="14.140625" customWidth="1"/>
    <col min="3" max="3" width="13.5703125" customWidth="1"/>
    <col min="4" max="5" width="13.85546875" customWidth="1"/>
  </cols>
  <sheetData>
    <row r="1" spans="1:6">
      <c r="A1" s="1" t="s">
        <v>792</v>
      </c>
    </row>
    <row r="2" spans="1:6">
      <c r="B2" s="169" t="s">
        <v>298</v>
      </c>
      <c r="C2" s="171"/>
      <c r="D2" s="171"/>
      <c r="E2" s="171"/>
    </row>
    <row r="3" spans="1:6">
      <c r="A3" s="21" t="s">
        <v>376</v>
      </c>
      <c r="B3" s="111" t="s">
        <v>174</v>
      </c>
      <c r="C3" s="111" t="s">
        <v>204</v>
      </c>
      <c r="D3" s="111" t="s">
        <v>175</v>
      </c>
      <c r="E3" s="111" t="s">
        <v>177</v>
      </c>
      <c r="F3" s="8"/>
    </row>
    <row r="4" spans="1:6">
      <c r="A4" s="8" t="s">
        <v>343</v>
      </c>
      <c r="B4" s="8">
        <v>51.83</v>
      </c>
      <c r="C4" s="8">
        <v>0.56000000000000005</v>
      </c>
      <c r="D4" s="8">
        <v>0.01</v>
      </c>
      <c r="E4" s="8">
        <v>241.26</v>
      </c>
    </row>
    <row r="5" spans="1:6">
      <c r="A5" s="8" t="s">
        <v>344</v>
      </c>
      <c r="B5" s="8">
        <v>13.64</v>
      </c>
      <c r="C5" s="8">
        <v>0.01</v>
      </c>
      <c r="D5" s="8">
        <v>0.03</v>
      </c>
      <c r="E5" s="8">
        <v>143.06</v>
      </c>
    </row>
    <row r="6" spans="1:6">
      <c r="A6" s="8" t="s">
        <v>345</v>
      </c>
      <c r="B6" s="8">
        <v>3.06</v>
      </c>
      <c r="C6" s="8">
        <v>0.04</v>
      </c>
      <c r="D6" s="8">
        <v>0.01</v>
      </c>
      <c r="E6" s="8">
        <v>15.67</v>
      </c>
    </row>
    <row r="7" spans="1:6">
      <c r="A7" s="8" t="s">
        <v>346</v>
      </c>
      <c r="B7" s="8">
        <v>266.83</v>
      </c>
      <c r="C7" s="8">
        <v>0.91</v>
      </c>
      <c r="D7" s="8">
        <v>0.72</v>
      </c>
      <c r="E7" s="8">
        <v>540.87</v>
      </c>
    </row>
    <row r="8" spans="1:6">
      <c r="A8" s="8" t="s">
        <v>347</v>
      </c>
      <c r="B8" s="8">
        <v>8.6999999999999993</v>
      </c>
      <c r="C8" s="8">
        <v>0.02</v>
      </c>
      <c r="D8" s="8">
        <v>0.08</v>
      </c>
      <c r="E8" s="8">
        <v>32.11</v>
      </c>
    </row>
    <row r="9" spans="1:6">
      <c r="A9" s="8" t="s">
        <v>348</v>
      </c>
      <c r="B9" s="8">
        <v>5.23</v>
      </c>
      <c r="C9" s="8">
        <v>0.01</v>
      </c>
      <c r="D9" s="8">
        <v>0.01</v>
      </c>
      <c r="E9" s="8">
        <v>3.36</v>
      </c>
    </row>
    <row r="10" spans="1:6">
      <c r="A10" s="8" t="s">
        <v>349</v>
      </c>
      <c r="B10" s="8">
        <v>0.9</v>
      </c>
      <c r="C10" s="8">
        <v>51.36</v>
      </c>
      <c r="D10" s="8">
        <v>166.59</v>
      </c>
      <c r="E10" s="8">
        <v>0.01</v>
      </c>
    </row>
    <row r="11" spans="1:6">
      <c r="A11" s="8" t="s">
        <v>350</v>
      </c>
      <c r="B11" s="8">
        <v>0.72</v>
      </c>
      <c r="C11" s="8">
        <v>36.67</v>
      </c>
      <c r="D11" s="8">
        <v>157.19999999999999</v>
      </c>
      <c r="E11" s="8">
        <v>0.01</v>
      </c>
    </row>
    <row r="12" spans="1:6">
      <c r="A12" s="8" t="s">
        <v>351</v>
      </c>
      <c r="B12" s="8">
        <v>0.38</v>
      </c>
      <c r="C12" s="8">
        <v>21.75</v>
      </c>
      <c r="D12" s="8">
        <v>112.64</v>
      </c>
      <c r="E12" s="8">
        <v>0.01</v>
      </c>
    </row>
    <row r="13" spans="1:6">
      <c r="A13" s="62" t="s">
        <v>352</v>
      </c>
      <c r="B13" s="8">
        <v>0.41</v>
      </c>
      <c r="C13" s="8">
        <v>21.36</v>
      </c>
      <c r="D13" s="8">
        <v>99.11</v>
      </c>
      <c r="E13" s="8">
        <v>0.01</v>
      </c>
    </row>
    <row r="14" spans="1:6">
      <c r="A14" s="8" t="s">
        <v>353</v>
      </c>
      <c r="B14" s="8">
        <v>0.44</v>
      </c>
      <c r="C14" s="8">
        <v>23.4</v>
      </c>
      <c r="D14" s="8">
        <v>95.54</v>
      </c>
      <c r="E14" s="8">
        <v>0.01</v>
      </c>
    </row>
    <row r="15" spans="1:6">
      <c r="A15" s="8" t="s">
        <v>354</v>
      </c>
      <c r="B15" s="8">
        <v>0.35</v>
      </c>
      <c r="C15" s="8">
        <v>21.25</v>
      </c>
      <c r="D15" s="8">
        <v>74.75</v>
      </c>
      <c r="E15" s="8">
        <v>0.01</v>
      </c>
    </row>
    <row r="16" spans="1:6">
      <c r="A16" s="8" t="s">
        <v>355</v>
      </c>
      <c r="B16" s="8">
        <v>0.35</v>
      </c>
      <c r="C16" s="8">
        <v>22.09</v>
      </c>
      <c r="D16" s="8">
        <v>62.32</v>
      </c>
      <c r="E16" s="8">
        <v>0.01</v>
      </c>
    </row>
    <row r="17" spans="1:5">
      <c r="A17" s="62" t="s">
        <v>356</v>
      </c>
      <c r="B17" s="8">
        <v>0.01</v>
      </c>
      <c r="C17" s="8">
        <v>19.55</v>
      </c>
      <c r="D17" s="8">
        <v>54.73</v>
      </c>
      <c r="E17" s="8">
        <v>0.01</v>
      </c>
    </row>
    <row r="18" spans="1:5">
      <c r="A18" s="8" t="s">
        <v>357</v>
      </c>
      <c r="B18" s="8">
        <v>0.2</v>
      </c>
      <c r="C18" s="8">
        <v>12.19</v>
      </c>
      <c r="D18" s="8">
        <v>52.9</v>
      </c>
      <c r="E18" s="8">
        <v>0.01</v>
      </c>
    </row>
    <row r="19" spans="1:5">
      <c r="A19" s="8" t="s">
        <v>358</v>
      </c>
      <c r="B19" s="8">
        <v>0.11</v>
      </c>
      <c r="C19" s="8">
        <v>7.97</v>
      </c>
      <c r="D19" s="8">
        <v>50.75</v>
      </c>
      <c r="E19" s="8">
        <v>0.01</v>
      </c>
    </row>
    <row r="20" spans="1:5">
      <c r="A20" s="8" t="s">
        <v>359</v>
      </c>
      <c r="B20" s="8">
        <v>0.23</v>
      </c>
      <c r="C20" s="8">
        <v>12.2</v>
      </c>
      <c r="D20" s="8">
        <v>95.81</v>
      </c>
      <c r="E20" s="8">
        <v>0.02</v>
      </c>
    </row>
    <row r="21" spans="1:5">
      <c r="A21" s="8" t="s">
        <v>360</v>
      </c>
      <c r="B21" s="8">
        <v>0.13</v>
      </c>
      <c r="C21" s="8">
        <v>8.17</v>
      </c>
      <c r="D21" s="8">
        <v>37.799999999999997</v>
      </c>
      <c r="E21" s="8">
        <v>0.01</v>
      </c>
    </row>
    <row r="22" spans="1:5">
      <c r="A22" s="8" t="s">
        <v>361</v>
      </c>
      <c r="B22" s="8">
        <v>0.12</v>
      </c>
      <c r="C22" s="8">
        <v>9.24</v>
      </c>
      <c r="D22" s="8">
        <v>33.090000000000003</v>
      </c>
      <c r="E22" s="8">
        <v>0.01</v>
      </c>
    </row>
    <row r="23" spans="1:5">
      <c r="A23" s="8" t="s">
        <v>362</v>
      </c>
      <c r="B23" s="8">
        <v>0.01</v>
      </c>
      <c r="C23" s="8">
        <v>5.43</v>
      </c>
      <c r="D23" s="8">
        <v>32.89</v>
      </c>
      <c r="E23" s="8">
        <v>0.01</v>
      </c>
    </row>
    <row r="24" spans="1:5">
      <c r="A24" s="8" t="s">
        <v>363</v>
      </c>
      <c r="B24" s="8">
        <v>0.12</v>
      </c>
      <c r="C24" s="8">
        <v>9.1</v>
      </c>
      <c r="D24" s="8">
        <v>28.95</v>
      </c>
      <c r="E24" s="8">
        <v>0.01</v>
      </c>
    </row>
    <row r="25" spans="1:5">
      <c r="A25" s="8" t="s">
        <v>364</v>
      </c>
      <c r="B25" s="8">
        <v>0.01</v>
      </c>
      <c r="C25" s="8">
        <v>8.5500000000000007</v>
      </c>
      <c r="D25" s="8">
        <v>28.36</v>
      </c>
      <c r="E25" s="8">
        <v>0.01</v>
      </c>
    </row>
    <row r="26" spans="1:5">
      <c r="A26" s="8" t="s">
        <v>365</v>
      </c>
      <c r="B26" s="8">
        <v>1.59</v>
      </c>
      <c r="C26" s="8">
        <v>82.59</v>
      </c>
      <c r="D26" s="8">
        <v>447.27</v>
      </c>
      <c r="E26" s="8">
        <v>0.16</v>
      </c>
    </row>
    <row r="27" spans="1:5">
      <c r="A27" s="8" t="s">
        <v>366</v>
      </c>
      <c r="B27" s="8">
        <v>0.08</v>
      </c>
      <c r="C27" s="8">
        <v>6.86</v>
      </c>
      <c r="D27" s="8">
        <v>27.7</v>
      </c>
      <c r="E27" s="8">
        <v>0.01</v>
      </c>
    </row>
    <row r="28" spans="1:5">
      <c r="A28" s="8" t="s">
        <v>367</v>
      </c>
      <c r="B28" s="8">
        <v>0.03</v>
      </c>
      <c r="C28" s="8">
        <v>4.67</v>
      </c>
      <c r="D28" s="8">
        <v>27.26</v>
      </c>
      <c r="E28" s="8">
        <v>0.01</v>
      </c>
    </row>
    <row r="29" spans="1:5">
      <c r="A29" s="8" t="s">
        <v>368</v>
      </c>
      <c r="B29" s="8">
        <v>0.01</v>
      </c>
      <c r="C29" s="8">
        <v>6.12</v>
      </c>
      <c r="D29" s="8">
        <v>23.33</v>
      </c>
      <c r="E29" s="8">
        <v>0.01</v>
      </c>
    </row>
    <row r="30" spans="1:5">
      <c r="A30" s="8" t="s">
        <v>369</v>
      </c>
      <c r="B30" s="8">
        <v>0.04</v>
      </c>
      <c r="C30" s="8">
        <v>2.21</v>
      </c>
      <c r="D30" s="8">
        <v>20.76</v>
      </c>
      <c r="E30" s="8">
        <v>0.01</v>
      </c>
    </row>
    <row r="31" spans="1:5">
      <c r="A31" s="8" t="s">
        <v>370</v>
      </c>
      <c r="B31" s="8">
        <v>0.09</v>
      </c>
      <c r="C31" s="8">
        <v>4.91</v>
      </c>
      <c r="D31" s="8">
        <v>20.61</v>
      </c>
      <c r="E31" s="8">
        <v>0.01</v>
      </c>
    </row>
    <row r="32" spans="1:5">
      <c r="A32" s="8" t="s">
        <v>371</v>
      </c>
      <c r="B32" s="8">
        <v>0.06</v>
      </c>
      <c r="C32" s="8">
        <v>3.72</v>
      </c>
      <c r="D32" s="8">
        <v>20.22</v>
      </c>
      <c r="E32" s="8">
        <v>0.01</v>
      </c>
    </row>
    <row r="33" spans="1:5">
      <c r="A33" s="8" t="s">
        <v>372</v>
      </c>
      <c r="B33" s="8">
        <v>0.09</v>
      </c>
      <c r="C33" s="8">
        <v>7.93</v>
      </c>
      <c r="D33" s="8">
        <v>18.41</v>
      </c>
      <c r="E33" s="8">
        <v>0.01</v>
      </c>
    </row>
    <row r="34" spans="1:5">
      <c r="A34" s="8" t="s">
        <v>373</v>
      </c>
      <c r="B34" s="8">
        <v>0.06</v>
      </c>
      <c r="C34" s="8">
        <v>3.66</v>
      </c>
      <c r="D34" s="8">
        <v>17.82</v>
      </c>
      <c r="E34" s="8">
        <v>0.01</v>
      </c>
    </row>
    <row r="35" spans="1:5">
      <c r="A35" s="8" t="s">
        <v>374</v>
      </c>
      <c r="B35" s="8">
        <v>0.01</v>
      </c>
      <c r="C35" s="8">
        <v>3.68</v>
      </c>
      <c r="D35" s="8">
        <v>15.91</v>
      </c>
      <c r="E35" s="8">
        <v>0.01</v>
      </c>
    </row>
    <row r="36" spans="1:5">
      <c r="A36" s="8" t="s">
        <v>375</v>
      </c>
      <c r="B36" s="8">
        <v>0.04</v>
      </c>
      <c r="C36" s="8">
        <v>3.45</v>
      </c>
      <c r="D36" s="8">
        <v>15.9</v>
      </c>
      <c r="E36" s="8">
        <v>0.01</v>
      </c>
    </row>
  </sheetData>
  <mergeCells count="1">
    <mergeCell ref="B2:E2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6"/>
  <sheetViews>
    <sheetView workbookViewId="0"/>
  </sheetViews>
  <sheetFormatPr defaultRowHeight="15"/>
  <sheetData>
    <row r="1" spans="1:19">
      <c r="A1" t="s">
        <v>793</v>
      </c>
    </row>
    <row r="3" spans="1:19">
      <c r="A3" s="70" t="s">
        <v>377</v>
      </c>
      <c r="B3" s="175" t="s">
        <v>329</v>
      </c>
      <c r="C3" s="175"/>
      <c r="D3" s="175"/>
      <c r="E3" s="21"/>
      <c r="F3" s="175" t="s">
        <v>330</v>
      </c>
      <c r="G3" s="175"/>
      <c r="H3" s="175"/>
      <c r="I3" s="21"/>
      <c r="J3" s="100" t="s">
        <v>191</v>
      </c>
      <c r="K3" s="21"/>
      <c r="L3" s="21"/>
      <c r="M3" s="21"/>
      <c r="N3" s="21" t="s">
        <v>331</v>
      </c>
      <c r="O3" s="21" t="s">
        <v>381</v>
      </c>
      <c r="P3" s="21"/>
      <c r="Q3" s="21" t="s">
        <v>382</v>
      </c>
      <c r="R3" s="21"/>
      <c r="S3" s="21" t="s">
        <v>383</v>
      </c>
    </row>
    <row r="4" spans="1:19">
      <c r="B4" s="21" t="s">
        <v>336</v>
      </c>
      <c r="C4" s="21" t="s">
        <v>337</v>
      </c>
      <c r="D4" s="21" t="s">
        <v>338</v>
      </c>
      <c r="E4" s="21"/>
      <c r="F4" s="21" t="s">
        <v>339</v>
      </c>
      <c r="G4" s="21" t="s">
        <v>337</v>
      </c>
      <c r="H4" s="21" t="s">
        <v>338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</row>
    <row r="5" spans="1:19">
      <c r="A5" s="8" t="s">
        <v>378</v>
      </c>
      <c r="B5" s="8">
        <v>26.495999999999999</v>
      </c>
      <c r="C5" s="8">
        <v>26.521999999999998</v>
      </c>
      <c r="D5" s="8">
        <v>26.821000000000002</v>
      </c>
      <c r="E5" s="62"/>
      <c r="F5" s="8">
        <v>16.527999999999999</v>
      </c>
      <c r="G5" s="8">
        <v>16.448</v>
      </c>
      <c r="H5" s="8">
        <v>16.728000000000002</v>
      </c>
      <c r="I5" s="62"/>
      <c r="J5" s="62">
        <f>B5-F5</f>
        <v>9.968</v>
      </c>
      <c r="K5" s="62">
        <f>C5-G5</f>
        <v>10.073999999999998</v>
      </c>
      <c r="L5" s="62">
        <f>D5-H5</f>
        <v>10.093</v>
      </c>
      <c r="M5" s="62"/>
      <c r="N5" s="62">
        <f>AVERAGE(L5,J5)</f>
        <v>10.0305</v>
      </c>
      <c r="O5" s="8">
        <f>STDEV(J5,L5)</f>
        <v>8.8388347648318447E-2</v>
      </c>
      <c r="P5" s="8"/>
      <c r="Q5" s="8">
        <f>N5-N5</f>
        <v>0</v>
      </c>
      <c r="R5" s="8"/>
      <c r="S5" s="8">
        <f>POWER(2,-Q5)</f>
        <v>1</v>
      </c>
    </row>
    <row r="6" spans="1:19">
      <c r="A6" s="8" t="s">
        <v>379</v>
      </c>
      <c r="B6" s="8">
        <v>25.678000000000001</v>
      </c>
      <c r="C6" s="8">
        <v>25.411999999999999</v>
      </c>
      <c r="D6" s="8">
        <v>25.834</v>
      </c>
      <c r="E6" s="62"/>
      <c r="F6" s="8">
        <v>17.835000000000001</v>
      </c>
      <c r="G6" s="8">
        <v>17.623999999999999</v>
      </c>
      <c r="H6" s="8">
        <v>17.283000000000001</v>
      </c>
      <c r="I6" s="62"/>
      <c r="J6" s="62">
        <f t="shared" ref="J6:L8" si="0">B6-F6</f>
        <v>7.843</v>
      </c>
      <c r="K6" s="62">
        <f t="shared" si="0"/>
        <v>7.7880000000000003</v>
      </c>
      <c r="L6" s="62">
        <f t="shared" si="0"/>
        <v>8.5509999999999984</v>
      </c>
      <c r="M6" s="62"/>
      <c r="N6" s="62">
        <f t="shared" ref="N6:N8" si="1">AVERAGE(J6:L6)</f>
        <v>8.0606666666666662</v>
      </c>
      <c r="O6" s="8">
        <f t="shared" ref="O6:O8" si="2">STDEV(J6:L6)</f>
        <v>0.42553064911159161</v>
      </c>
      <c r="P6" s="8"/>
      <c r="Q6" s="8">
        <f>N6-N5</f>
        <v>-1.9698333333333338</v>
      </c>
      <c r="R6" s="8"/>
      <c r="S6" s="8">
        <f t="shared" ref="S6:S8" si="3">POWER(2,-Q6)</f>
        <v>3.9172286282106561</v>
      </c>
    </row>
    <row r="7" spans="1:19">
      <c r="A7" s="8" t="s">
        <v>170</v>
      </c>
      <c r="B7" s="8">
        <v>25.645</v>
      </c>
      <c r="C7" s="8">
        <v>25.353000000000002</v>
      </c>
      <c r="D7" s="8">
        <v>25.611999999999998</v>
      </c>
      <c r="E7" s="62"/>
      <c r="F7" s="8">
        <v>18.236999999999998</v>
      </c>
      <c r="G7" s="8">
        <v>18.721</v>
      </c>
      <c r="H7" s="8">
        <v>18.626999999999999</v>
      </c>
      <c r="I7" s="62"/>
      <c r="J7" s="62">
        <f t="shared" si="0"/>
        <v>7.4080000000000013</v>
      </c>
      <c r="K7" s="62">
        <f t="shared" si="0"/>
        <v>6.6320000000000014</v>
      </c>
      <c r="L7" s="62">
        <f t="shared" si="0"/>
        <v>6.9849999999999994</v>
      </c>
      <c r="M7" s="62"/>
      <c r="N7" s="62">
        <f t="shared" si="1"/>
        <v>7.0083333333333337</v>
      </c>
      <c r="O7" s="8">
        <f t="shared" si="2"/>
        <v>0.38852584641608251</v>
      </c>
      <c r="P7" s="8"/>
      <c r="Q7" s="8">
        <f>N7-N5</f>
        <v>-3.0221666666666662</v>
      </c>
      <c r="R7" s="8"/>
      <c r="S7" s="8">
        <f t="shared" si="3"/>
        <v>8.1238672586948919</v>
      </c>
    </row>
    <row r="8" spans="1:19">
      <c r="A8" s="8" t="s">
        <v>380</v>
      </c>
      <c r="B8" s="8">
        <v>25.690999999999999</v>
      </c>
      <c r="C8" s="8">
        <v>25.693000000000001</v>
      </c>
      <c r="D8" s="8">
        <v>25.510999999999999</v>
      </c>
      <c r="E8" s="62"/>
      <c r="F8" s="8">
        <v>18.210999999999999</v>
      </c>
      <c r="G8" s="8">
        <v>18.263999999999999</v>
      </c>
      <c r="H8" s="8">
        <v>18.623999999999999</v>
      </c>
      <c r="I8" s="62"/>
      <c r="J8" s="62">
        <f t="shared" si="0"/>
        <v>7.48</v>
      </c>
      <c r="K8" s="62">
        <f t="shared" si="0"/>
        <v>7.429000000000002</v>
      </c>
      <c r="L8" s="62">
        <f t="shared" si="0"/>
        <v>6.8870000000000005</v>
      </c>
      <c r="M8" s="62"/>
      <c r="N8" s="62">
        <f t="shared" si="1"/>
        <v>7.2653333333333343</v>
      </c>
      <c r="O8" s="8">
        <f t="shared" si="2"/>
        <v>0.32863708453753904</v>
      </c>
      <c r="P8" s="8"/>
      <c r="Q8" s="8">
        <f>N8-N5</f>
        <v>-2.7651666666666657</v>
      </c>
      <c r="R8" s="8"/>
      <c r="S8" s="8">
        <f t="shared" si="3"/>
        <v>6.7982653141522684</v>
      </c>
    </row>
    <row r="9" spans="1:19">
      <c r="A9" s="62"/>
      <c r="B9" s="62"/>
      <c r="C9" s="62"/>
      <c r="D9" s="62"/>
      <c r="E9" s="62"/>
      <c r="F9" s="63"/>
      <c r="G9" s="63"/>
      <c r="H9" s="62"/>
      <c r="I9" s="62"/>
      <c r="J9" s="62"/>
      <c r="K9" s="62"/>
      <c r="L9" s="62"/>
      <c r="M9" s="62"/>
      <c r="N9" s="62"/>
      <c r="O9" s="8"/>
      <c r="P9" s="8"/>
      <c r="Q9" s="8"/>
      <c r="R9" s="8"/>
      <c r="S9" s="8"/>
    </row>
    <row r="10" spans="1:19">
      <c r="A10" s="8" t="s">
        <v>378</v>
      </c>
      <c r="B10" s="8">
        <v>28.573</v>
      </c>
      <c r="C10" s="8">
        <v>28.128</v>
      </c>
      <c r="D10" s="8">
        <v>28.773</v>
      </c>
      <c r="E10" s="62"/>
      <c r="F10" s="8">
        <v>17.629000000000001</v>
      </c>
      <c r="G10" s="8">
        <v>17.263000000000002</v>
      </c>
      <c r="H10" s="8">
        <v>17.195</v>
      </c>
      <c r="I10" s="62"/>
      <c r="J10" s="62">
        <f>B10-F10</f>
        <v>10.943999999999999</v>
      </c>
      <c r="K10" s="62">
        <f>C10-G10</f>
        <v>10.864999999999998</v>
      </c>
      <c r="L10" s="62">
        <f>D10-H10</f>
        <v>11.577999999999999</v>
      </c>
      <c r="M10" s="62"/>
      <c r="N10" s="62">
        <f>AVERAGE(L10,J10)</f>
        <v>11.260999999999999</v>
      </c>
      <c r="O10" s="8">
        <f>STDEV(J10,L10)</f>
        <v>0.44830569927227137</v>
      </c>
      <c r="P10" s="8"/>
      <c r="Q10" s="8">
        <f>N10-N10</f>
        <v>0</v>
      </c>
      <c r="R10" s="8"/>
      <c r="S10" s="8">
        <f>POWER(2,-Q10)</f>
        <v>1</v>
      </c>
    </row>
    <row r="11" spans="1:19">
      <c r="A11" s="8" t="s">
        <v>379</v>
      </c>
      <c r="B11" s="8">
        <v>27.489000000000001</v>
      </c>
      <c r="C11" s="8">
        <v>27.52</v>
      </c>
      <c r="D11" s="8">
        <v>27.844999999999999</v>
      </c>
      <c r="E11" s="62"/>
      <c r="F11" s="8">
        <v>17.628</v>
      </c>
      <c r="G11" s="8">
        <v>17.922000000000001</v>
      </c>
      <c r="H11" s="8">
        <v>17.623000000000001</v>
      </c>
      <c r="I11" s="62"/>
      <c r="J11" s="62">
        <f t="shared" ref="J11:L13" si="4">B11-F11</f>
        <v>9.8610000000000007</v>
      </c>
      <c r="K11" s="62">
        <f t="shared" si="4"/>
        <v>9.597999999999999</v>
      </c>
      <c r="L11" s="62">
        <f t="shared" si="4"/>
        <v>10.221999999999998</v>
      </c>
      <c r="M11" s="62"/>
      <c r="N11" s="62">
        <f t="shared" ref="N11:N13" si="5">AVERAGE(J11:L11)</f>
        <v>9.8936666666666664</v>
      </c>
      <c r="O11" s="8">
        <f t="shared" ref="O11:O13" si="6">STDEV(J11:L11)</f>
        <v>0.31327995999318703</v>
      </c>
      <c r="P11" s="8"/>
      <c r="Q11" s="8">
        <f>N11-N10</f>
        <v>-1.3673333333333328</v>
      </c>
      <c r="R11" s="8"/>
      <c r="S11" s="8">
        <f t="shared" ref="S11:S13" si="7">POWER(2,-Q11)</f>
        <v>2.5799325234388286</v>
      </c>
    </row>
    <row r="12" spans="1:19">
      <c r="A12" s="8" t="s">
        <v>170</v>
      </c>
      <c r="B12" s="8">
        <v>27.794</v>
      </c>
      <c r="C12" s="8">
        <v>27.34</v>
      </c>
      <c r="D12" s="8">
        <v>27.849</v>
      </c>
      <c r="E12" s="62"/>
      <c r="F12" s="8">
        <v>18.428000000000001</v>
      </c>
      <c r="G12" s="8">
        <v>18.710999999999999</v>
      </c>
      <c r="H12" s="8">
        <v>18.358000000000001</v>
      </c>
      <c r="I12" s="62"/>
      <c r="J12" s="62">
        <f t="shared" si="4"/>
        <v>9.3659999999999997</v>
      </c>
      <c r="K12" s="62">
        <f t="shared" si="4"/>
        <v>8.6290000000000013</v>
      </c>
      <c r="L12" s="62">
        <f t="shared" si="4"/>
        <v>9.4909999999999997</v>
      </c>
      <c r="M12" s="62"/>
      <c r="N12" s="62">
        <f t="shared" si="5"/>
        <v>9.1620000000000008</v>
      </c>
      <c r="O12" s="8">
        <f t="shared" si="6"/>
        <v>0.46580360668418952</v>
      </c>
      <c r="P12" s="8"/>
      <c r="Q12" s="8">
        <f>N12-N10</f>
        <v>-2.0989999999999984</v>
      </c>
      <c r="R12" s="8"/>
      <c r="S12" s="8">
        <f t="shared" si="7"/>
        <v>4.2841232927658144</v>
      </c>
    </row>
    <row r="13" spans="1:19">
      <c r="A13" s="8" t="s">
        <v>380</v>
      </c>
      <c r="B13" s="8">
        <v>26.533999999999999</v>
      </c>
      <c r="C13" s="8">
        <v>26.754000000000001</v>
      </c>
      <c r="D13" s="8">
        <v>26.395</v>
      </c>
      <c r="E13" s="62"/>
      <c r="F13" s="8">
        <v>17.734000000000002</v>
      </c>
      <c r="G13" s="8">
        <v>17.143999999999998</v>
      </c>
      <c r="H13" s="8">
        <v>17.853000000000002</v>
      </c>
      <c r="I13" s="62"/>
      <c r="J13" s="62">
        <f t="shared" si="4"/>
        <v>8.7999999999999972</v>
      </c>
      <c r="K13" s="62">
        <f t="shared" si="4"/>
        <v>9.610000000000003</v>
      </c>
      <c r="L13" s="62">
        <f t="shared" si="4"/>
        <v>8.541999999999998</v>
      </c>
      <c r="M13" s="62"/>
      <c r="N13" s="62">
        <f t="shared" si="5"/>
        <v>8.984</v>
      </c>
      <c r="O13" s="8">
        <f t="shared" si="6"/>
        <v>0.55726833751793514</v>
      </c>
      <c r="P13" s="8"/>
      <c r="Q13" s="8">
        <f>N13-N10</f>
        <v>-2.2769999999999992</v>
      </c>
      <c r="R13" s="8"/>
      <c r="S13" s="8">
        <f t="shared" si="7"/>
        <v>4.8466906417209694</v>
      </c>
    </row>
    <row r="14" spans="1:19">
      <c r="A14" s="8"/>
      <c r="B14" s="8"/>
      <c r="C14" s="8"/>
      <c r="D14" s="64"/>
      <c r="E14" s="8"/>
      <c r="F14" s="8"/>
      <c r="G14" s="64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</row>
    <row r="15" spans="1:19">
      <c r="A15" s="8" t="s">
        <v>378</v>
      </c>
      <c r="B15" s="8">
        <v>28.306000000000001</v>
      </c>
      <c r="C15" s="8">
        <v>28.103999999999999</v>
      </c>
      <c r="D15" s="8">
        <v>28.494</v>
      </c>
      <c r="E15" s="62"/>
      <c r="F15" s="8">
        <v>16.395</v>
      </c>
      <c r="G15" s="8">
        <v>16.228999999999999</v>
      </c>
      <c r="H15" s="8">
        <v>16.835000000000001</v>
      </c>
      <c r="I15" s="62"/>
      <c r="J15" s="62">
        <f>B15-F15</f>
        <v>11.911000000000001</v>
      </c>
      <c r="K15" s="62">
        <f>C15-G15</f>
        <v>11.875</v>
      </c>
      <c r="L15" s="62">
        <f>D15-H15</f>
        <v>11.658999999999999</v>
      </c>
      <c r="M15" s="62"/>
      <c r="N15" s="62">
        <f>AVERAGE(L15,J15)</f>
        <v>11.785</v>
      </c>
      <c r="O15" s="8">
        <f>STDEV(J15,L15)</f>
        <v>0.1781909088590117</v>
      </c>
      <c r="P15" s="8"/>
      <c r="Q15" s="8">
        <f>N15-N15</f>
        <v>0</v>
      </c>
      <c r="R15" s="8"/>
      <c r="S15" s="8">
        <f>POWER(2,-Q15)</f>
        <v>1</v>
      </c>
    </row>
    <row r="16" spans="1:19">
      <c r="A16" s="8" t="s">
        <v>379</v>
      </c>
      <c r="B16" s="8">
        <v>26.204999999999998</v>
      </c>
      <c r="C16" s="8">
        <v>26.882999999999999</v>
      </c>
      <c r="D16" s="8">
        <v>26.16</v>
      </c>
      <c r="E16" s="62"/>
      <c r="F16" s="8">
        <v>16.195</v>
      </c>
      <c r="G16" s="8">
        <v>16.346</v>
      </c>
      <c r="H16" s="8">
        <v>16.728999999999999</v>
      </c>
      <c r="I16" s="62"/>
      <c r="J16" s="62">
        <f t="shared" ref="J16:L17" si="8">B16-F16</f>
        <v>10.009999999999998</v>
      </c>
      <c r="K16" s="62">
        <f t="shared" si="8"/>
        <v>10.536999999999999</v>
      </c>
      <c r="L16" s="62">
        <f t="shared" si="8"/>
        <v>9.4310000000000009</v>
      </c>
      <c r="M16" s="62"/>
      <c r="N16" s="62">
        <f t="shared" ref="N16:N17" si="9">AVERAGE(J16:L16)</f>
        <v>9.9926666666666666</v>
      </c>
      <c r="O16" s="8">
        <f t="shared" ref="O16:O17" si="10">STDEV(J16:L16)</f>
        <v>0.55320369967429917</v>
      </c>
      <c r="P16" s="8"/>
      <c r="Q16" s="8">
        <f>N16-N15</f>
        <v>-1.7923333333333336</v>
      </c>
      <c r="R16" s="8"/>
      <c r="S16" s="8">
        <f t="shared" ref="S16:S17" si="11">POWER(2,-Q16)</f>
        <v>3.4637464649974703</v>
      </c>
    </row>
    <row r="17" spans="1:19">
      <c r="A17" s="8" t="s">
        <v>170</v>
      </c>
      <c r="B17" s="8">
        <v>26.954000000000001</v>
      </c>
      <c r="C17" s="8">
        <v>26.228999999999999</v>
      </c>
      <c r="D17" s="8">
        <v>26.792999999999999</v>
      </c>
      <c r="E17" s="62"/>
      <c r="F17" s="8">
        <v>17.292999999999999</v>
      </c>
      <c r="G17" s="8">
        <v>17.593</v>
      </c>
      <c r="H17" s="8">
        <v>17.821999999999999</v>
      </c>
      <c r="I17" s="62"/>
      <c r="J17" s="62">
        <f t="shared" si="8"/>
        <v>9.6610000000000014</v>
      </c>
      <c r="K17" s="62">
        <f t="shared" si="8"/>
        <v>8.6359999999999992</v>
      </c>
      <c r="L17" s="62">
        <f t="shared" si="8"/>
        <v>8.9710000000000001</v>
      </c>
      <c r="M17" s="62"/>
      <c r="N17" s="62">
        <f t="shared" si="9"/>
        <v>9.0893333333333342</v>
      </c>
      <c r="O17" s="8">
        <f t="shared" si="10"/>
        <v>0.52264551402775328</v>
      </c>
      <c r="P17" s="8"/>
      <c r="Q17" s="8">
        <f>N17-N15</f>
        <v>-2.695666666666666</v>
      </c>
      <c r="R17" s="8"/>
      <c r="S17" s="8">
        <f t="shared" si="11"/>
        <v>6.478530757676225</v>
      </c>
    </row>
    <row r="18" spans="1:19">
      <c r="A18" s="8" t="s">
        <v>380</v>
      </c>
      <c r="B18" s="8">
        <v>26.638999999999999</v>
      </c>
      <c r="C18" s="8">
        <v>26.11</v>
      </c>
      <c r="D18" s="8">
        <v>26.395</v>
      </c>
      <c r="E18" s="62"/>
      <c r="F18" s="8">
        <v>16.623999999999999</v>
      </c>
      <c r="G18" s="8">
        <v>16.829999999999998</v>
      </c>
      <c r="H18" s="8">
        <v>16.658999999999999</v>
      </c>
      <c r="I18" s="8"/>
      <c r="J18" s="8">
        <f>B18-F18</f>
        <v>10.015000000000001</v>
      </c>
      <c r="K18" s="8">
        <f>C18-G18</f>
        <v>9.2800000000000011</v>
      </c>
      <c r="L18" s="8">
        <f>D18-H18</f>
        <v>9.7360000000000007</v>
      </c>
      <c r="M18" s="8"/>
      <c r="N18" s="8">
        <f>AVERAGE(J18:L18)</f>
        <v>9.6770000000000014</v>
      </c>
      <c r="O18" s="8">
        <f>STDEV(J18:L18)</f>
        <v>0.37103503877666294</v>
      </c>
      <c r="P18" s="8"/>
      <c r="Q18" s="8">
        <f>N18-N15</f>
        <v>-2.1079999999999988</v>
      </c>
      <c r="R18" s="8"/>
      <c r="S18" s="8">
        <f>POWER(2,-Q18)</f>
        <v>4.3109325801746801</v>
      </c>
    </row>
    <row r="21" spans="1:19">
      <c r="A21" s="70" t="s">
        <v>384</v>
      </c>
      <c r="B21" s="175" t="s">
        <v>329</v>
      </c>
      <c r="C21" s="175"/>
      <c r="D21" s="175"/>
      <c r="E21" s="21"/>
      <c r="F21" s="175" t="s">
        <v>330</v>
      </c>
      <c r="G21" s="175"/>
      <c r="H21" s="175"/>
      <c r="I21" s="21"/>
      <c r="J21" s="100" t="s">
        <v>191</v>
      </c>
      <c r="K21" s="21"/>
      <c r="L21" s="21"/>
      <c r="M21" s="21"/>
      <c r="N21" s="21" t="s">
        <v>331</v>
      </c>
      <c r="O21" s="21" t="s">
        <v>381</v>
      </c>
      <c r="P21" s="21"/>
      <c r="Q21" s="21" t="s">
        <v>382</v>
      </c>
      <c r="R21" s="21"/>
      <c r="S21" s="21" t="s">
        <v>383</v>
      </c>
    </row>
    <row r="22" spans="1:19">
      <c r="B22" s="21" t="s">
        <v>336</v>
      </c>
      <c r="C22" s="21" t="s">
        <v>337</v>
      </c>
      <c r="D22" s="21" t="s">
        <v>338</v>
      </c>
      <c r="E22" s="21"/>
      <c r="F22" s="21" t="s">
        <v>339</v>
      </c>
      <c r="G22" s="21" t="s">
        <v>337</v>
      </c>
      <c r="H22" s="21" t="s">
        <v>338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</row>
    <row r="23" spans="1:19">
      <c r="A23" s="8" t="s">
        <v>378</v>
      </c>
      <c r="B23" s="8">
        <v>28.4588</v>
      </c>
      <c r="C23" s="8">
        <v>25.239000000000001</v>
      </c>
      <c r="D23" s="8">
        <v>25.834</v>
      </c>
      <c r="E23" s="62"/>
      <c r="F23" s="8">
        <v>16.295000000000002</v>
      </c>
      <c r="G23" s="8">
        <v>16.295000000000002</v>
      </c>
      <c r="H23" s="8">
        <v>16.423999999999999</v>
      </c>
      <c r="I23" s="8"/>
      <c r="J23" s="8">
        <f>B23-F23</f>
        <v>12.163799999999998</v>
      </c>
      <c r="K23" s="8">
        <f>C23-G23</f>
        <v>8.9439999999999991</v>
      </c>
      <c r="L23" s="8">
        <f>D23-H23</f>
        <v>9.41</v>
      </c>
      <c r="M23" s="8"/>
      <c r="N23" s="8">
        <f>AVERAGE(L23,J23)</f>
        <v>10.786899999999999</v>
      </c>
      <c r="O23" s="8">
        <f>STDEV(J23,L23)</f>
        <v>1.9472306540315163</v>
      </c>
      <c r="P23" s="8"/>
      <c r="Q23" s="8">
        <f>N23-N23</f>
        <v>0</v>
      </c>
      <c r="R23" s="8"/>
      <c r="S23" s="8">
        <f>POWER(2,-Q23)</f>
        <v>1</v>
      </c>
    </row>
    <row r="24" spans="1:19">
      <c r="A24" s="8" t="s">
        <v>379</v>
      </c>
      <c r="B24" s="8">
        <v>27.2288</v>
      </c>
      <c r="C24" s="8">
        <v>27.193999999999999</v>
      </c>
      <c r="D24" s="8">
        <v>27.931999999999999</v>
      </c>
      <c r="E24" s="62"/>
      <c r="F24" s="8">
        <v>16.923999999999999</v>
      </c>
      <c r="G24" s="8">
        <v>16.882000000000001</v>
      </c>
      <c r="H24" s="8">
        <v>16.283999999999999</v>
      </c>
      <c r="I24" s="8"/>
      <c r="J24" s="8">
        <f t="shared" ref="J24:L26" si="12">B24-F24</f>
        <v>10.3048</v>
      </c>
      <c r="K24" s="8">
        <f t="shared" si="12"/>
        <v>10.311999999999998</v>
      </c>
      <c r="L24" s="8">
        <f t="shared" si="12"/>
        <v>11.648</v>
      </c>
      <c r="M24" s="8"/>
      <c r="N24" s="8">
        <f t="shared" ref="N24:N26" si="13">AVERAGE(J24:L24)</f>
        <v>10.754933333333332</v>
      </c>
      <c r="O24" s="8">
        <f t="shared" ref="O24:O26" si="14">STDEV(J24:L24)</f>
        <v>0.77342679894954125</v>
      </c>
      <c r="P24" s="8"/>
      <c r="Q24" s="8">
        <f>N24-N23</f>
        <v>-3.1966666666667365E-2</v>
      </c>
      <c r="R24" s="8"/>
      <c r="S24" s="8">
        <f t="shared" ref="S24:S26" si="15">POWER(2,-Q24)</f>
        <v>1.0224049077677151</v>
      </c>
    </row>
    <row r="25" spans="1:19">
      <c r="A25" s="8" t="s">
        <v>170</v>
      </c>
      <c r="B25" s="8">
        <v>26.521999999999998</v>
      </c>
      <c r="C25" s="8">
        <v>26.292000000000002</v>
      </c>
      <c r="D25" s="8">
        <v>26.738</v>
      </c>
      <c r="E25" s="62"/>
      <c r="F25" s="8">
        <v>16.321999999999999</v>
      </c>
      <c r="G25" s="8">
        <v>16.282</v>
      </c>
      <c r="H25" s="8">
        <v>16.521000000000001</v>
      </c>
      <c r="I25" s="8"/>
      <c r="J25" s="8">
        <f t="shared" si="12"/>
        <v>10.199999999999999</v>
      </c>
      <c r="K25" s="8">
        <f t="shared" si="12"/>
        <v>10.010000000000002</v>
      </c>
      <c r="L25" s="8">
        <f t="shared" si="12"/>
        <v>10.216999999999999</v>
      </c>
      <c r="M25" s="8"/>
      <c r="N25" s="8">
        <f t="shared" si="13"/>
        <v>10.142333333333333</v>
      </c>
      <c r="O25" s="8">
        <f t="shared" si="14"/>
        <v>0.11491881192099487</v>
      </c>
      <c r="P25" s="8"/>
      <c r="Q25" s="8">
        <f>N25-N23</f>
        <v>-0.64456666666666607</v>
      </c>
      <c r="R25" s="8"/>
      <c r="S25" s="8">
        <f t="shared" si="15"/>
        <v>1.5632696661489456</v>
      </c>
    </row>
    <row r="26" spans="1:19">
      <c r="A26" s="8" t="s">
        <v>380</v>
      </c>
      <c r="B26" s="8">
        <v>26.894500000000001</v>
      </c>
      <c r="C26" s="112">
        <v>26.844999999999999</v>
      </c>
      <c r="D26" s="8">
        <v>26.771999999999998</v>
      </c>
      <c r="E26" s="62"/>
      <c r="F26" s="8">
        <v>16.335000000000001</v>
      </c>
      <c r="G26" s="8">
        <v>16.381</v>
      </c>
      <c r="H26" s="8">
        <v>16.234999999999999</v>
      </c>
      <c r="I26" s="8"/>
      <c r="J26" s="8">
        <f t="shared" si="12"/>
        <v>10.5595</v>
      </c>
      <c r="K26" s="8">
        <f t="shared" si="12"/>
        <v>10.463999999999999</v>
      </c>
      <c r="L26" s="8">
        <f t="shared" si="12"/>
        <v>10.536999999999999</v>
      </c>
      <c r="M26" s="8"/>
      <c r="N26" s="8">
        <f t="shared" si="13"/>
        <v>10.520166666666666</v>
      </c>
      <c r="O26" s="8">
        <f t="shared" si="14"/>
        <v>4.9925778244644212E-2</v>
      </c>
      <c r="P26" s="8"/>
      <c r="Q26" s="8">
        <f>N26-N23</f>
        <v>-0.26673333333333282</v>
      </c>
      <c r="R26" s="8"/>
      <c r="S26" s="8">
        <f t="shared" si="15"/>
        <v>1.2030806289273674</v>
      </c>
    </row>
    <row r="27" spans="1:19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</row>
    <row r="28" spans="1:19">
      <c r="A28" s="8" t="s">
        <v>378</v>
      </c>
      <c r="B28" s="8">
        <v>28.385000000000002</v>
      </c>
      <c r="C28" s="8">
        <v>28.114000000000001</v>
      </c>
      <c r="D28" s="8">
        <v>28.712</v>
      </c>
      <c r="E28" s="62"/>
      <c r="F28" s="8">
        <v>17.413</v>
      </c>
      <c r="G28" s="8">
        <v>17.556000000000001</v>
      </c>
      <c r="H28" s="8">
        <v>17.283999999999999</v>
      </c>
      <c r="I28" s="62"/>
      <c r="J28" s="62">
        <f>B28-F28</f>
        <v>10.972000000000001</v>
      </c>
      <c r="K28" s="62">
        <f>C28-G28</f>
        <v>10.558</v>
      </c>
      <c r="L28" s="62">
        <f>D28-H28</f>
        <v>11.428000000000001</v>
      </c>
      <c r="M28" s="62"/>
      <c r="N28" s="62">
        <f>AVERAGE(L28,J28)</f>
        <v>11.200000000000001</v>
      </c>
      <c r="O28" s="8">
        <f>STDEV(J28,L28)</f>
        <v>0.32244069222106536</v>
      </c>
      <c r="P28" s="8"/>
      <c r="Q28" s="8">
        <f>N28-N28</f>
        <v>0</v>
      </c>
      <c r="R28" s="8"/>
      <c r="S28" s="8">
        <f>POWER(2,-Q28)</f>
        <v>1</v>
      </c>
    </row>
    <row r="29" spans="1:19">
      <c r="A29" s="8" t="s">
        <v>379</v>
      </c>
      <c r="B29" s="8">
        <v>27.495000000000001</v>
      </c>
      <c r="C29" s="8">
        <v>27.395</v>
      </c>
      <c r="D29" s="8">
        <v>27.832999999999998</v>
      </c>
      <c r="E29" s="62"/>
      <c r="F29" s="8">
        <v>17.835000000000001</v>
      </c>
      <c r="G29" s="8">
        <v>17.611999999999998</v>
      </c>
      <c r="H29" s="8">
        <v>17.143000000000001</v>
      </c>
      <c r="I29" s="62"/>
      <c r="J29" s="62">
        <f t="shared" ref="J29:L31" si="16">B29-F29</f>
        <v>9.66</v>
      </c>
      <c r="K29" s="62">
        <f t="shared" si="16"/>
        <v>9.7830000000000013</v>
      </c>
      <c r="L29" s="62">
        <f t="shared" si="16"/>
        <v>10.689999999999998</v>
      </c>
      <c r="M29" s="62"/>
      <c r="N29" s="62">
        <f t="shared" ref="N29:N31" si="17">AVERAGE(J29:L29)</f>
        <v>10.044333333333332</v>
      </c>
      <c r="O29" s="8">
        <f t="shared" ref="O29:O31" si="18">STDEV(J29:L29)</f>
        <v>0.56253562850128125</v>
      </c>
      <c r="P29" s="8"/>
      <c r="Q29" s="8">
        <f>N29-N28</f>
        <v>-1.1556666666666686</v>
      </c>
      <c r="R29" s="8"/>
      <c r="S29" s="8">
        <f t="shared" ref="S29:S31" si="19">POWER(2,-Q29)</f>
        <v>2.2278724943220558</v>
      </c>
    </row>
    <row r="30" spans="1:19">
      <c r="A30" s="8" t="s">
        <v>170</v>
      </c>
      <c r="B30" s="8">
        <v>26.34</v>
      </c>
      <c r="C30" s="8">
        <v>26.834</v>
      </c>
      <c r="D30" s="8">
        <v>26.552</v>
      </c>
      <c r="E30" s="62"/>
      <c r="F30" s="8">
        <v>16.283000000000001</v>
      </c>
      <c r="G30" s="8">
        <v>16.183</v>
      </c>
      <c r="H30" s="8">
        <v>16.225000000000001</v>
      </c>
      <c r="I30" s="62"/>
      <c r="J30" s="62">
        <f t="shared" si="16"/>
        <v>10.056999999999999</v>
      </c>
      <c r="K30" s="62">
        <f t="shared" si="16"/>
        <v>10.651</v>
      </c>
      <c r="L30" s="62">
        <f t="shared" si="16"/>
        <v>10.326999999999998</v>
      </c>
      <c r="M30" s="62"/>
      <c r="N30" s="62">
        <f t="shared" si="17"/>
        <v>10.344999999999999</v>
      </c>
      <c r="O30" s="8">
        <f t="shared" si="18"/>
        <v>0.29740880955345017</v>
      </c>
      <c r="P30" s="8"/>
      <c r="Q30" s="8">
        <f>N30-N28</f>
        <v>-0.8550000000000022</v>
      </c>
      <c r="R30" s="8"/>
      <c r="S30" s="8">
        <f t="shared" si="19"/>
        <v>1.8087587551221789</v>
      </c>
    </row>
    <row r="31" spans="1:19">
      <c r="A31" s="8" t="s">
        <v>380</v>
      </c>
      <c r="B31" s="8">
        <v>26.535</v>
      </c>
      <c r="C31" s="8">
        <v>26.84</v>
      </c>
      <c r="D31" s="8">
        <v>26.911999999999999</v>
      </c>
      <c r="E31" s="62"/>
      <c r="F31" s="8">
        <v>16.135000000000002</v>
      </c>
      <c r="G31" s="8">
        <v>16.218</v>
      </c>
      <c r="H31" s="8">
        <v>16.353999999999999</v>
      </c>
      <c r="I31" s="62"/>
      <c r="J31" s="62">
        <f t="shared" si="16"/>
        <v>10.399999999999999</v>
      </c>
      <c r="K31" s="62">
        <f t="shared" si="16"/>
        <v>10.622</v>
      </c>
      <c r="L31" s="62">
        <f t="shared" si="16"/>
        <v>10.558</v>
      </c>
      <c r="M31" s="62"/>
      <c r="N31" s="62">
        <f t="shared" si="17"/>
        <v>10.526666666666666</v>
      </c>
      <c r="O31" s="8">
        <f t="shared" si="18"/>
        <v>0.11426868920808314</v>
      </c>
      <c r="P31" s="8"/>
      <c r="Q31" s="8">
        <f>N31-N28</f>
        <v>-0.67333333333333556</v>
      </c>
      <c r="R31" s="8"/>
      <c r="S31" s="8">
        <f t="shared" si="19"/>
        <v>1.5947533767863962</v>
      </c>
    </row>
    <row r="32" spans="1:19">
      <c r="A32" s="62"/>
      <c r="B32" s="62"/>
      <c r="C32" s="62"/>
      <c r="D32" s="62"/>
      <c r="E32" s="62"/>
      <c r="F32" s="62"/>
      <c r="G32" s="63"/>
      <c r="H32" s="62"/>
      <c r="I32" s="62"/>
      <c r="J32" s="62"/>
      <c r="K32" s="62"/>
      <c r="L32" s="62"/>
      <c r="M32" s="62"/>
      <c r="N32" s="62"/>
      <c r="O32" s="8"/>
      <c r="P32" s="8"/>
      <c r="Q32" s="8"/>
      <c r="R32" s="8"/>
      <c r="S32" s="8"/>
    </row>
    <row r="33" spans="1:19">
      <c r="A33" s="8" t="s">
        <v>378</v>
      </c>
      <c r="B33" s="8">
        <v>27.491</v>
      </c>
      <c r="C33" s="8">
        <v>27.834</v>
      </c>
      <c r="D33" s="8">
        <v>27.411999999999999</v>
      </c>
      <c r="E33" s="62"/>
      <c r="F33" s="8">
        <v>18.385000000000002</v>
      </c>
      <c r="G33" s="8">
        <v>18.128</v>
      </c>
      <c r="H33" s="8">
        <v>18.622</v>
      </c>
      <c r="I33" s="62"/>
      <c r="J33" s="62">
        <f>B33-F33</f>
        <v>9.1059999999999981</v>
      </c>
      <c r="K33" s="62">
        <f>C33-G33</f>
        <v>9.7059999999999995</v>
      </c>
      <c r="L33" s="62">
        <f>D33-H33</f>
        <v>8.7899999999999991</v>
      </c>
      <c r="M33" s="62"/>
      <c r="N33" s="62">
        <f>AVERAGE(L33,J33)</f>
        <v>8.9479999999999986</v>
      </c>
      <c r="O33" s="8">
        <f>STDEV(J33,L33)</f>
        <v>0.22344574285494828</v>
      </c>
      <c r="P33" s="8"/>
      <c r="Q33" s="8">
        <f>N33-N33</f>
        <v>0</v>
      </c>
      <c r="R33" s="8"/>
      <c r="S33" s="8">
        <f>POWER(2,-Q33)</f>
        <v>1</v>
      </c>
    </row>
    <row r="34" spans="1:19">
      <c r="A34" s="8" t="s">
        <v>379</v>
      </c>
      <c r="B34" s="8">
        <v>27.225000000000001</v>
      </c>
      <c r="C34" s="8">
        <v>27.843</v>
      </c>
      <c r="D34" s="8">
        <v>27.184000000000001</v>
      </c>
      <c r="E34" s="62"/>
      <c r="F34" s="8">
        <v>18.535</v>
      </c>
      <c r="G34" s="8">
        <v>18.628</v>
      </c>
      <c r="H34" s="8">
        <v>18.922999999999998</v>
      </c>
      <c r="I34" s="62"/>
      <c r="J34" s="62">
        <f t="shared" ref="J34:L36" si="20">B34-F34</f>
        <v>8.6900000000000013</v>
      </c>
      <c r="K34" s="62">
        <f t="shared" si="20"/>
        <v>9.2149999999999999</v>
      </c>
      <c r="L34" s="62">
        <f t="shared" si="20"/>
        <v>8.2610000000000028</v>
      </c>
      <c r="M34" s="62"/>
      <c r="N34" s="62">
        <f t="shared" ref="N34:N36" si="21">AVERAGE(J34:L34)</f>
        <v>8.7220000000000013</v>
      </c>
      <c r="O34" s="8">
        <f t="shared" ref="O34:O36" si="22">STDEV(J34:L34)</f>
        <v>0.47780435326606074</v>
      </c>
      <c r="P34" s="8"/>
      <c r="Q34" s="8">
        <f>N34-N33</f>
        <v>-0.22599999999999731</v>
      </c>
      <c r="R34" s="8"/>
      <c r="S34" s="8">
        <f t="shared" ref="S34:S36" si="23">POWER(2,-Q34)</f>
        <v>1.1695876640519451</v>
      </c>
    </row>
    <row r="35" spans="1:19">
      <c r="A35" s="8" t="s">
        <v>170</v>
      </c>
      <c r="B35" s="8">
        <v>26.129000000000001</v>
      </c>
      <c r="C35" s="8">
        <v>26.395</v>
      </c>
      <c r="D35" s="8">
        <v>26.224</v>
      </c>
      <c r="E35" s="62"/>
      <c r="F35" s="8">
        <v>16.853999999999999</v>
      </c>
      <c r="G35" s="8">
        <v>16.324999999999999</v>
      </c>
      <c r="H35" s="8">
        <v>16.347999999999999</v>
      </c>
      <c r="I35" s="62"/>
      <c r="J35" s="62">
        <f t="shared" si="20"/>
        <v>9.2750000000000021</v>
      </c>
      <c r="K35" s="62">
        <f t="shared" si="20"/>
        <v>10.07</v>
      </c>
      <c r="L35" s="62">
        <f t="shared" si="20"/>
        <v>9.8760000000000012</v>
      </c>
      <c r="M35" s="62"/>
      <c r="N35" s="62">
        <f t="shared" si="21"/>
        <v>9.740333333333334</v>
      </c>
      <c r="O35" s="8">
        <f t="shared" si="22"/>
        <v>0.41450010052270503</v>
      </c>
      <c r="P35" s="8"/>
      <c r="Q35" s="8">
        <f>N35-N33</f>
        <v>0.79233333333333533</v>
      </c>
      <c r="R35" s="8"/>
      <c r="S35" s="8">
        <f t="shared" si="23"/>
        <v>0.57740946694880513</v>
      </c>
    </row>
    <row r="36" spans="1:19">
      <c r="A36" s="8" t="s">
        <v>380</v>
      </c>
      <c r="B36" s="8">
        <v>26.611999999999998</v>
      </c>
      <c r="C36" s="8">
        <v>26.512</v>
      </c>
      <c r="D36" s="8">
        <v>26.945</v>
      </c>
      <c r="E36" s="62"/>
      <c r="F36" s="8">
        <v>18.236000000000001</v>
      </c>
      <c r="G36" s="8">
        <v>18.251000000000001</v>
      </c>
      <c r="H36" s="8">
        <v>18.628</v>
      </c>
      <c r="I36" s="62"/>
      <c r="J36" s="62">
        <f t="shared" si="20"/>
        <v>8.3759999999999977</v>
      </c>
      <c r="K36" s="62">
        <f t="shared" si="20"/>
        <v>8.2609999999999992</v>
      </c>
      <c r="L36" s="62">
        <f t="shared" si="20"/>
        <v>8.3170000000000002</v>
      </c>
      <c r="M36" s="62"/>
      <c r="N36" s="62">
        <f t="shared" si="21"/>
        <v>8.3179999999999996</v>
      </c>
      <c r="O36" s="8">
        <f t="shared" si="22"/>
        <v>5.7506521369318706E-2</v>
      </c>
      <c r="P36" s="8"/>
      <c r="Q36" s="8">
        <f>N36-N33</f>
        <v>-0.62999999999999901</v>
      </c>
      <c r="R36" s="8"/>
      <c r="S36" s="8">
        <f t="shared" si="23"/>
        <v>1.5475649935423887</v>
      </c>
    </row>
    <row r="37" spans="1:19">
      <c r="A37" s="8"/>
      <c r="B37" s="8"/>
      <c r="C37" s="8"/>
      <c r="D37" s="8"/>
      <c r="E37" s="62"/>
      <c r="F37" s="8"/>
      <c r="G37" s="8"/>
      <c r="H37" s="8"/>
      <c r="I37" s="62"/>
      <c r="J37" s="62"/>
      <c r="K37" s="62"/>
      <c r="L37" s="62"/>
      <c r="M37" s="62"/>
      <c r="N37" s="62"/>
      <c r="O37" s="8"/>
      <c r="P37" s="8"/>
      <c r="Q37" s="8"/>
      <c r="R37" s="8"/>
      <c r="S37" s="8"/>
    </row>
    <row r="39" spans="1:19">
      <c r="A39" s="70" t="s">
        <v>340</v>
      </c>
      <c r="B39" s="175" t="s">
        <v>329</v>
      </c>
      <c r="C39" s="175"/>
      <c r="D39" s="175"/>
      <c r="E39" s="21"/>
      <c r="F39" s="175" t="s">
        <v>330</v>
      </c>
      <c r="G39" s="175"/>
      <c r="H39" s="175"/>
      <c r="I39" s="21"/>
      <c r="J39" s="100" t="s">
        <v>191</v>
      </c>
      <c r="K39" s="21"/>
      <c r="L39" s="21"/>
      <c r="M39" s="21"/>
      <c r="N39" s="21" t="s">
        <v>331</v>
      </c>
      <c r="O39" s="21" t="s">
        <v>381</v>
      </c>
      <c r="P39" s="21"/>
      <c r="Q39" s="21" t="s">
        <v>382</v>
      </c>
      <c r="R39" s="21"/>
      <c r="S39" s="21" t="s">
        <v>383</v>
      </c>
    </row>
    <row r="40" spans="1:19">
      <c r="B40" s="21" t="s">
        <v>336</v>
      </c>
      <c r="C40" s="21" t="s">
        <v>337</v>
      </c>
      <c r="D40" s="21" t="s">
        <v>338</v>
      </c>
      <c r="E40" s="21"/>
      <c r="F40" s="21" t="s">
        <v>339</v>
      </c>
      <c r="G40" s="21" t="s">
        <v>337</v>
      </c>
      <c r="H40" s="21" t="s">
        <v>338</v>
      </c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</row>
    <row r="41" spans="1:19">
      <c r="B41" s="21" t="s">
        <v>336</v>
      </c>
      <c r="C41" s="21" t="s">
        <v>337</v>
      </c>
      <c r="D41" s="21" t="s">
        <v>338</v>
      </c>
      <c r="E41" s="21"/>
      <c r="F41" s="21" t="s">
        <v>339</v>
      </c>
      <c r="G41" s="21" t="s">
        <v>337</v>
      </c>
      <c r="H41" s="21" t="s">
        <v>338</v>
      </c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</row>
    <row r="42" spans="1:19">
      <c r="A42" s="8" t="s">
        <v>378</v>
      </c>
      <c r="B42" s="8">
        <v>26.202999999999999</v>
      </c>
      <c r="C42" s="8">
        <v>26.72</v>
      </c>
      <c r="D42" s="8">
        <v>26.346</v>
      </c>
      <c r="E42" s="62"/>
      <c r="F42" s="8">
        <v>17.395</v>
      </c>
      <c r="G42" s="8">
        <v>17.239000000000001</v>
      </c>
      <c r="H42" s="8">
        <v>17.946000000000002</v>
      </c>
      <c r="I42" s="8"/>
      <c r="J42" s="8">
        <f>B42-F42</f>
        <v>8.8079999999999998</v>
      </c>
      <c r="K42" s="8">
        <f>C42-G42</f>
        <v>9.4809999999999981</v>
      </c>
      <c r="L42" s="8">
        <f>D42-H42</f>
        <v>8.3999999999999986</v>
      </c>
      <c r="M42" s="8"/>
      <c r="N42" s="8">
        <f>AVERAGE(L42,J42)</f>
        <v>8.6039999999999992</v>
      </c>
      <c r="O42" s="8">
        <f>STDEV(J42,L42)</f>
        <v>0.28849956672411226</v>
      </c>
      <c r="P42" s="8"/>
      <c r="Q42" s="8">
        <f>N42-N42</f>
        <v>0</v>
      </c>
      <c r="R42" s="8"/>
      <c r="S42" s="8">
        <f>POWER(2,-Q42)</f>
        <v>1</v>
      </c>
    </row>
    <row r="43" spans="1:19">
      <c r="A43" s="8" t="s">
        <v>379</v>
      </c>
      <c r="B43" s="8">
        <v>27.69</v>
      </c>
      <c r="C43" s="8">
        <v>27.602</v>
      </c>
      <c r="D43" s="8">
        <v>27.704000000000001</v>
      </c>
      <c r="E43" s="62"/>
      <c r="F43" s="8">
        <v>17.234999999999999</v>
      </c>
      <c r="G43" s="8">
        <v>17.722999999999999</v>
      </c>
      <c r="H43" s="8">
        <v>17.132999999999999</v>
      </c>
      <c r="I43" s="8"/>
      <c r="J43" s="8">
        <f t="shared" ref="J43:L44" si="24">B43-F43</f>
        <v>10.455000000000002</v>
      </c>
      <c r="K43" s="8">
        <f t="shared" si="24"/>
        <v>9.8790000000000013</v>
      </c>
      <c r="L43" s="8">
        <f t="shared" si="24"/>
        <v>10.571000000000002</v>
      </c>
      <c r="M43" s="8"/>
      <c r="N43" s="8">
        <f t="shared" ref="N43:N44" si="25">AVERAGE(J43:L43)</f>
        <v>10.301666666666668</v>
      </c>
      <c r="O43" s="8">
        <f t="shared" ref="O43:O44" si="26">STDEV(J43:L43)</f>
        <v>0.37060670977915855</v>
      </c>
      <c r="P43" s="8"/>
      <c r="Q43" s="8">
        <f>N43-N42</f>
        <v>1.6976666666666684</v>
      </c>
      <c r="R43" s="8"/>
      <c r="S43" s="8">
        <f t="shared" ref="S43:S44" si="27">POWER(2,-Q43)</f>
        <v>0.3082843019361442</v>
      </c>
    </row>
    <row r="44" spans="1:19">
      <c r="A44" s="8" t="s">
        <v>170</v>
      </c>
      <c r="B44" s="8">
        <v>27.114999999999998</v>
      </c>
      <c r="C44" s="8">
        <v>27.346</v>
      </c>
      <c r="D44" s="8">
        <v>27.891999999999999</v>
      </c>
      <c r="E44" s="62"/>
      <c r="F44" s="8">
        <v>17.225000000000001</v>
      </c>
      <c r="G44" s="8">
        <v>17.829000000000001</v>
      </c>
      <c r="H44" s="8">
        <v>17.431999999999999</v>
      </c>
      <c r="I44" s="8"/>
      <c r="J44" s="8">
        <f t="shared" si="24"/>
        <v>9.889999999999997</v>
      </c>
      <c r="K44" s="8">
        <f t="shared" si="24"/>
        <v>9.5169999999999995</v>
      </c>
      <c r="L44" s="8">
        <f t="shared" si="24"/>
        <v>10.46</v>
      </c>
      <c r="M44" s="8"/>
      <c r="N44" s="8">
        <f t="shared" si="25"/>
        <v>9.9556666666666658</v>
      </c>
      <c r="O44" s="8">
        <f t="shared" si="26"/>
        <v>0.47491718576330144</v>
      </c>
      <c r="P44" s="8"/>
      <c r="Q44" s="8">
        <f>N44-N42</f>
        <v>1.3516666666666666</v>
      </c>
      <c r="R44" s="8"/>
      <c r="S44" s="8">
        <f t="shared" si="27"/>
        <v>0.39183911707631597</v>
      </c>
    </row>
    <row r="45" spans="1:19">
      <c r="A45" s="8" t="s">
        <v>380</v>
      </c>
      <c r="B45" s="8">
        <v>28.12</v>
      </c>
      <c r="C45" s="8">
        <v>28.23</v>
      </c>
      <c r="D45" s="8">
        <v>28.125</v>
      </c>
      <c r="E45" s="62"/>
      <c r="F45" s="8">
        <v>16.23</v>
      </c>
      <c r="G45" s="8">
        <v>16.295000000000002</v>
      </c>
      <c r="H45" s="8">
        <v>16.523</v>
      </c>
      <c r="I45" s="62"/>
      <c r="J45" s="62">
        <f>B45-F45</f>
        <v>11.89</v>
      </c>
      <c r="K45" s="62">
        <f>C45-G45</f>
        <v>11.934999999999999</v>
      </c>
      <c r="L45" s="62">
        <f>D45-H45</f>
        <v>11.602</v>
      </c>
      <c r="M45" s="62"/>
      <c r="N45" s="62">
        <f>AVERAGE(J45:L45)</f>
        <v>11.808999999999999</v>
      </c>
      <c r="O45" s="8">
        <f>STDEV(J45:L45)</f>
        <v>0.18067373909896209</v>
      </c>
      <c r="P45" s="8"/>
      <c r="Q45" s="8">
        <f>N45-N42</f>
        <v>3.2050000000000001</v>
      </c>
      <c r="R45" s="8"/>
      <c r="S45" s="8">
        <f>POWER(2,-Q45)</f>
        <v>0.10844233589400851</v>
      </c>
    </row>
    <row r="46" spans="1:19">
      <c r="A46" s="62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</row>
    <row r="47" spans="1:19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</row>
    <row r="48" spans="1:19">
      <c r="A48" s="8" t="s">
        <v>378</v>
      </c>
      <c r="B48" s="8">
        <v>27.821000000000002</v>
      </c>
      <c r="C48" s="8">
        <v>27.306000000000001</v>
      </c>
      <c r="D48" s="8">
        <v>27.263000000000002</v>
      </c>
      <c r="E48" s="62"/>
      <c r="F48" s="8">
        <v>16.295000000000002</v>
      </c>
      <c r="G48" s="8">
        <v>16.774000000000001</v>
      </c>
      <c r="H48" s="8">
        <v>16.375</v>
      </c>
      <c r="I48" s="62"/>
      <c r="J48" s="62">
        <f>B48-F48</f>
        <v>11.526</v>
      </c>
      <c r="K48" s="62">
        <f>C48-G48</f>
        <v>10.532</v>
      </c>
      <c r="L48" s="62">
        <f>D48-H48</f>
        <v>10.888000000000002</v>
      </c>
      <c r="M48" s="62"/>
      <c r="N48" s="62">
        <f>AVERAGE(L48,J48)</f>
        <v>11.207000000000001</v>
      </c>
      <c r="O48" s="8">
        <f>STDEV(J48,L48)</f>
        <v>0.451134126397016</v>
      </c>
      <c r="P48" s="8"/>
      <c r="Q48" s="8">
        <f>N48-N48</f>
        <v>0</v>
      </c>
      <c r="R48" s="8"/>
      <c r="S48" s="8">
        <f>POWER(2,-Q48)</f>
        <v>1</v>
      </c>
    </row>
    <row r="49" spans="1:19">
      <c r="A49" s="8" t="s">
        <v>379</v>
      </c>
      <c r="B49" s="8">
        <v>28.556000000000001</v>
      </c>
      <c r="C49" s="8">
        <v>28.937999999999999</v>
      </c>
      <c r="D49" s="8">
        <v>28.728999999999999</v>
      </c>
      <c r="E49" s="62"/>
      <c r="F49" s="8">
        <v>16.245999999999999</v>
      </c>
      <c r="G49" s="8">
        <v>16.193000000000001</v>
      </c>
      <c r="H49" s="8">
        <v>16.34</v>
      </c>
      <c r="I49" s="62"/>
      <c r="J49" s="62">
        <f t="shared" ref="J49:L50" si="28">B49-F49</f>
        <v>12.310000000000002</v>
      </c>
      <c r="K49" s="62">
        <f t="shared" si="28"/>
        <v>12.744999999999997</v>
      </c>
      <c r="L49" s="62">
        <f t="shared" si="28"/>
        <v>12.388999999999999</v>
      </c>
      <c r="M49" s="62"/>
      <c r="N49" s="62">
        <f t="shared" ref="N49:N50" si="29">AVERAGE(J49:L49)</f>
        <v>12.481333333333334</v>
      </c>
      <c r="O49" s="8">
        <f t="shared" ref="O49:O50" si="30">STDEV(J49:L49)</f>
        <v>0.23173332374376443</v>
      </c>
      <c r="P49" s="8"/>
      <c r="Q49" s="8">
        <f>N49-N48</f>
        <v>1.2743333333333329</v>
      </c>
      <c r="R49" s="8"/>
      <c r="S49" s="8">
        <f t="shared" ref="S49:S50" si="31">POWER(2,-Q49)</f>
        <v>0.41341615377215263</v>
      </c>
    </row>
    <row r="50" spans="1:19">
      <c r="A50" s="8" t="s">
        <v>170</v>
      </c>
      <c r="B50" s="8">
        <v>28.661999999999999</v>
      </c>
      <c r="C50" s="8">
        <v>28.193999999999999</v>
      </c>
      <c r="D50" s="8">
        <v>28.346</v>
      </c>
      <c r="E50" s="62"/>
      <c r="F50" s="8">
        <v>16.123000000000001</v>
      </c>
      <c r="G50" s="8">
        <v>16.396999999999998</v>
      </c>
      <c r="H50" s="8">
        <v>16.457000000000001</v>
      </c>
      <c r="I50" s="62"/>
      <c r="J50" s="62">
        <f t="shared" si="28"/>
        <v>12.538999999999998</v>
      </c>
      <c r="K50" s="62">
        <f t="shared" si="28"/>
        <v>11.797000000000001</v>
      </c>
      <c r="L50" s="62">
        <f t="shared" si="28"/>
        <v>11.888999999999999</v>
      </c>
      <c r="M50" s="62"/>
      <c r="N50" s="62">
        <f t="shared" si="29"/>
        <v>12.074999999999998</v>
      </c>
      <c r="O50" s="8">
        <f t="shared" si="30"/>
        <v>0.40446013400581149</v>
      </c>
      <c r="P50" s="8"/>
      <c r="Q50" s="8">
        <f>N50-N48</f>
        <v>0.86799999999999677</v>
      </c>
      <c r="R50" s="8"/>
      <c r="S50" s="8">
        <f t="shared" si="31"/>
        <v>0.5479058832238467</v>
      </c>
    </row>
    <row r="51" spans="1:19">
      <c r="A51" s="8" t="s">
        <v>380</v>
      </c>
      <c r="B51" s="8">
        <v>29.812000000000001</v>
      </c>
      <c r="C51" s="8">
        <v>29.789000000000001</v>
      </c>
      <c r="D51" s="8">
        <v>29.821999999999999</v>
      </c>
      <c r="E51" s="62"/>
      <c r="F51" s="8">
        <v>16.149000000000001</v>
      </c>
      <c r="G51" s="8">
        <v>16.195</v>
      </c>
      <c r="H51" s="8">
        <v>16.335000000000001</v>
      </c>
      <c r="I51" s="62"/>
      <c r="J51" s="62">
        <f>B51-F51</f>
        <v>13.663</v>
      </c>
      <c r="K51" s="62">
        <f>C51-G51</f>
        <v>13.594000000000001</v>
      </c>
      <c r="L51" s="62">
        <f>D51-H51</f>
        <v>13.486999999999998</v>
      </c>
      <c r="M51" s="62"/>
      <c r="N51" s="62">
        <f>AVERAGE(J51:L51)</f>
        <v>13.581333333333333</v>
      </c>
      <c r="O51" s="8">
        <f>STDEV(J51:L51)</f>
        <v>8.8681076523312058E-2</v>
      </c>
      <c r="P51" s="8"/>
      <c r="Q51" s="8">
        <f>N51-N48</f>
        <v>2.3743333333333325</v>
      </c>
      <c r="R51" s="8"/>
      <c r="S51" s="8">
        <f>POWER(2,-Q51)</f>
        <v>0.19286545535183625</v>
      </c>
    </row>
    <row r="52" spans="1:19">
      <c r="A52" s="8"/>
      <c r="B52" s="62"/>
      <c r="C52" s="62"/>
      <c r="D52" s="62"/>
      <c r="E52" s="62"/>
      <c r="F52" s="62"/>
      <c r="G52" s="63"/>
      <c r="H52" s="62"/>
      <c r="I52" s="62"/>
      <c r="J52" s="62"/>
      <c r="K52" s="62"/>
      <c r="L52" s="62"/>
      <c r="M52" s="62"/>
      <c r="N52" s="62"/>
      <c r="O52" s="8"/>
      <c r="P52" s="8"/>
      <c r="Q52" s="8"/>
      <c r="R52" s="8"/>
      <c r="S52" s="8"/>
    </row>
    <row r="53" spans="1:19">
      <c r="A53" s="8" t="s">
        <v>378</v>
      </c>
      <c r="B53" s="8">
        <v>26.405000000000001</v>
      </c>
      <c r="C53" s="8">
        <v>26.579000000000001</v>
      </c>
      <c r="D53" s="8">
        <v>26.111999999999998</v>
      </c>
      <c r="E53" s="62"/>
      <c r="F53" s="8">
        <v>16.495999999999999</v>
      </c>
      <c r="G53" s="8">
        <v>16.295000000000002</v>
      </c>
      <c r="H53" s="8">
        <v>16.933</v>
      </c>
      <c r="I53" s="62"/>
      <c r="J53" s="62">
        <f>B53-F53</f>
        <v>9.9090000000000025</v>
      </c>
      <c r="K53" s="62">
        <f>C53-G53</f>
        <v>10.283999999999999</v>
      </c>
      <c r="L53" s="62">
        <f>D53-H53</f>
        <v>9.1789999999999985</v>
      </c>
      <c r="M53" s="62"/>
      <c r="N53" s="62">
        <f>AVERAGE(L53,J53)</f>
        <v>9.5440000000000005</v>
      </c>
      <c r="O53" s="8">
        <f>STDEV(J53,L53)</f>
        <v>0.51618795026618247</v>
      </c>
      <c r="P53" s="8"/>
      <c r="Q53" s="8">
        <f>N53-N53</f>
        <v>0</v>
      </c>
      <c r="R53" s="8"/>
      <c r="S53" s="8">
        <f>POWER(2,-Q53)</f>
        <v>1</v>
      </c>
    </row>
    <row r="54" spans="1:19">
      <c r="A54" s="8" t="s">
        <v>379</v>
      </c>
      <c r="B54" s="8">
        <v>28.225000000000001</v>
      </c>
      <c r="C54" s="8">
        <v>28.305</v>
      </c>
      <c r="D54" s="8">
        <v>28.652999999999999</v>
      </c>
      <c r="E54" s="62"/>
      <c r="F54" s="8">
        <v>16.623000000000001</v>
      </c>
      <c r="G54" s="8">
        <v>16.963000000000001</v>
      </c>
      <c r="H54" s="8">
        <v>16.248999999999999</v>
      </c>
      <c r="I54" s="62"/>
      <c r="J54" s="62">
        <f t="shared" ref="J54:L56" si="32">B54-F54</f>
        <v>11.602</v>
      </c>
      <c r="K54" s="62">
        <f t="shared" si="32"/>
        <v>11.341999999999999</v>
      </c>
      <c r="L54" s="62">
        <f t="shared" si="32"/>
        <v>12.404</v>
      </c>
      <c r="M54" s="62"/>
      <c r="N54" s="62">
        <f t="shared" ref="N54" si="33">AVERAGE(J54:L54)</f>
        <v>11.782666666666666</v>
      </c>
      <c r="O54" s="8">
        <f t="shared" ref="O54" si="34">STDEV(J54:L54)</f>
        <v>0.55357143471582215</v>
      </c>
      <c r="P54" s="8"/>
      <c r="Q54" s="8">
        <f>N54-N53</f>
        <v>2.2386666666666653</v>
      </c>
      <c r="R54" s="8"/>
      <c r="S54" s="8">
        <f t="shared" ref="S54" si="35">POWER(2,-Q54)</f>
        <v>0.21188205823186948</v>
      </c>
    </row>
    <row r="55" spans="1:19">
      <c r="A55" s="8" t="s">
        <v>170</v>
      </c>
      <c r="B55" s="8">
        <v>27.353999999999999</v>
      </c>
      <c r="C55" s="8">
        <v>27.792999999999999</v>
      </c>
      <c r="D55" s="8">
        <v>27.236000000000001</v>
      </c>
      <c r="E55" s="62"/>
      <c r="F55" s="8">
        <v>16.53</v>
      </c>
      <c r="G55" s="8">
        <v>16.792999999999999</v>
      </c>
      <c r="H55" s="8">
        <v>16.344000000000001</v>
      </c>
      <c r="I55" s="62"/>
      <c r="J55" s="62">
        <f t="shared" si="32"/>
        <v>10.823999999999998</v>
      </c>
      <c r="K55" s="62">
        <f t="shared" si="32"/>
        <v>11</v>
      </c>
      <c r="L55" s="62">
        <f t="shared" si="32"/>
        <v>10.891999999999999</v>
      </c>
      <c r="M55" s="62"/>
      <c r="N55" s="62">
        <f>AVERAGE(J55:L55)</f>
        <v>10.905333333333331</v>
      </c>
      <c r="O55" s="8">
        <f>STDEV(J55:L55)</f>
        <v>8.8754342616761572E-2</v>
      </c>
      <c r="P55" s="8"/>
      <c r="Q55" s="8">
        <f>N55-N53</f>
        <v>1.3613333333333308</v>
      </c>
      <c r="R55" s="8"/>
      <c r="S55" s="8">
        <f>POWER(2,-Q55)</f>
        <v>0.38922240566993799</v>
      </c>
    </row>
    <row r="56" spans="1:19">
      <c r="A56" s="8" t="s">
        <v>380</v>
      </c>
      <c r="B56" s="8">
        <v>28.823</v>
      </c>
      <c r="C56" s="8">
        <v>28.893000000000001</v>
      </c>
      <c r="D56" s="8">
        <v>28.643999999999998</v>
      </c>
      <c r="E56" s="62"/>
      <c r="F56" s="8">
        <v>16.254000000000001</v>
      </c>
      <c r="G56" s="8">
        <v>16.23</v>
      </c>
      <c r="H56" s="8">
        <v>16.204999999999998</v>
      </c>
      <c r="I56" s="62"/>
      <c r="J56" s="62">
        <f t="shared" si="32"/>
        <v>12.568999999999999</v>
      </c>
      <c r="K56" s="62">
        <f t="shared" si="32"/>
        <v>12.663</v>
      </c>
      <c r="L56" s="62">
        <f t="shared" si="32"/>
        <v>12.439</v>
      </c>
      <c r="M56" s="62"/>
      <c r="N56" s="62">
        <f>AVERAGE(J56:L56)</f>
        <v>12.557</v>
      </c>
      <c r="O56" s="8">
        <f>STDEV(J56:L56)</f>
        <v>0.11248110952511098</v>
      </c>
      <c r="P56" s="8"/>
      <c r="Q56" s="8">
        <f>N56-N53</f>
        <v>3.0129999999999999</v>
      </c>
      <c r="R56" s="8"/>
      <c r="S56" s="8">
        <f>POWER(2,-Q56)</f>
        <v>0.12387869540800989</v>
      </c>
    </row>
  </sheetData>
  <mergeCells count="6">
    <mergeCell ref="B39:D39"/>
    <mergeCell ref="F39:H39"/>
    <mergeCell ref="B3:D3"/>
    <mergeCell ref="F3:H3"/>
    <mergeCell ref="B21:D21"/>
    <mergeCell ref="F21:H21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opLeftCell="A4" zoomScale="77" zoomScaleNormal="77" workbookViewId="0"/>
  </sheetViews>
  <sheetFormatPr defaultRowHeight="15"/>
  <cols>
    <col min="3" max="3" width="9.140625" customWidth="1"/>
  </cols>
  <sheetData>
    <row r="1" spans="1:10">
      <c r="A1" s="1" t="s">
        <v>794</v>
      </c>
    </row>
    <row r="4" spans="1:10">
      <c r="D4" t="s">
        <v>731</v>
      </c>
      <c r="J4" t="s">
        <v>728</v>
      </c>
    </row>
    <row r="28" spans="2:10">
      <c r="B28" s="1" t="s">
        <v>732</v>
      </c>
      <c r="J28" s="1" t="s">
        <v>728</v>
      </c>
    </row>
  </sheetData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8"/>
  <sheetViews>
    <sheetView workbookViewId="0"/>
  </sheetViews>
  <sheetFormatPr defaultRowHeight="15"/>
  <cols>
    <col min="1" max="2" width="9.140625" style="8"/>
    <col min="3" max="3" width="13.28515625" style="8" customWidth="1"/>
    <col min="4" max="4" width="12.7109375" style="8" customWidth="1"/>
    <col min="5" max="6" width="9.140625" style="8"/>
    <col min="7" max="8" width="15.7109375" style="8" customWidth="1"/>
    <col min="9" max="9" width="15.85546875" style="8" customWidth="1"/>
    <col min="10" max="10" width="18.7109375" style="8" customWidth="1"/>
    <col min="11" max="16384" width="9.140625" style="8"/>
  </cols>
  <sheetData>
    <row r="1" spans="1:15">
      <c r="A1" s="21" t="s">
        <v>795</v>
      </c>
    </row>
    <row r="2" spans="1:15">
      <c r="A2" s="21"/>
    </row>
    <row r="3" spans="1:15">
      <c r="A3" s="21" t="s">
        <v>394</v>
      </c>
      <c r="B3" s="59" t="s">
        <v>392</v>
      </c>
      <c r="C3" s="59" t="s">
        <v>393</v>
      </c>
      <c r="D3" s="71" t="s">
        <v>391</v>
      </c>
      <c r="E3" s="71" t="s">
        <v>386</v>
      </c>
      <c r="F3" s="71" t="s">
        <v>176</v>
      </c>
      <c r="G3" s="71" t="s">
        <v>388</v>
      </c>
      <c r="H3" s="71" t="s">
        <v>389</v>
      </c>
      <c r="I3" s="71" t="s">
        <v>390</v>
      </c>
      <c r="J3" s="71" t="s">
        <v>387</v>
      </c>
      <c r="K3" s="21"/>
      <c r="L3" s="21"/>
      <c r="M3" s="21"/>
      <c r="N3" s="21"/>
      <c r="O3" s="21"/>
    </row>
    <row r="4" spans="1:15">
      <c r="A4" s="21" t="s">
        <v>13</v>
      </c>
      <c r="B4" s="8">
        <v>0.2368845</v>
      </c>
      <c r="C4" s="8">
        <v>0.1030512</v>
      </c>
      <c r="D4" s="8">
        <v>0.7690939</v>
      </c>
      <c r="E4" s="8">
        <v>1.0675079999999999</v>
      </c>
      <c r="F4" s="8">
        <v>1.0291459999999999</v>
      </c>
      <c r="G4" s="8">
        <v>1.022197</v>
      </c>
      <c r="H4" s="8">
        <v>0.91084920000000003</v>
      </c>
      <c r="I4" s="8">
        <v>1.3208340000000001</v>
      </c>
      <c r="J4" s="8">
        <v>0.88295190000000001</v>
      </c>
    </row>
    <row r="5" spans="1:15">
      <c r="A5" s="21" t="s">
        <v>19</v>
      </c>
      <c r="B5" s="8">
        <v>0.22098979999999999</v>
      </c>
      <c r="C5" s="8">
        <v>9.3678289999999997E-2</v>
      </c>
      <c r="D5" s="8">
        <v>1.291366</v>
      </c>
      <c r="E5" s="8">
        <v>1.6013230000000001</v>
      </c>
      <c r="F5" s="8">
        <v>1.177405</v>
      </c>
      <c r="G5" s="8">
        <v>1.2170650000000001</v>
      </c>
      <c r="H5" s="8">
        <v>1.6091420000000001</v>
      </c>
      <c r="I5" s="8">
        <v>1.265552</v>
      </c>
      <c r="J5" s="8">
        <v>9.1083220000000006E-2</v>
      </c>
    </row>
    <row r="6" spans="1:15">
      <c r="A6" s="21" t="s">
        <v>22</v>
      </c>
      <c r="B6" s="8">
        <v>0.23270179999999999</v>
      </c>
      <c r="C6" s="8">
        <v>0.19299050000000001</v>
      </c>
      <c r="D6" s="8">
        <v>0.7790475</v>
      </c>
      <c r="E6" s="8">
        <v>1.0999810000000001</v>
      </c>
      <c r="F6" s="8">
        <v>1.2676860000000001</v>
      </c>
      <c r="G6" s="8">
        <v>1.43604</v>
      </c>
      <c r="H6" s="8">
        <v>1.455589</v>
      </c>
      <c r="I6" s="8">
        <v>1.3642840000000001</v>
      </c>
      <c r="J6" s="8">
        <v>1.5256209999999999</v>
      </c>
    </row>
    <row r="7" spans="1:15">
      <c r="A7" s="21" t="s">
        <v>24</v>
      </c>
      <c r="B7" s="8">
        <v>0.2484258</v>
      </c>
      <c r="C7" s="8">
        <v>0.21656800000000001</v>
      </c>
      <c r="D7" s="8">
        <v>0.62220030000000004</v>
      </c>
      <c r="E7" s="8">
        <v>1.413402</v>
      </c>
      <c r="F7" s="8">
        <v>1.2850490000000001</v>
      </c>
      <c r="G7" s="8">
        <v>1.5519989999999999</v>
      </c>
      <c r="H7" s="8">
        <v>1.463238</v>
      </c>
      <c r="I7" s="8">
        <v>1.4207259999999999</v>
      </c>
      <c r="J7" s="8">
        <v>1.5417209999999999</v>
      </c>
    </row>
    <row r="8" spans="1:15">
      <c r="A8" s="21" t="s">
        <v>27</v>
      </c>
      <c r="B8" s="8">
        <v>6.3510700000000003E-3</v>
      </c>
      <c r="C8" s="8">
        <v>0.21450230000000001</v>
      </c>
      <c r="D8" s="8">
        <v>0.6092417</v>
      </c>
      <c r="E8" s="8">
        <v>1.295669</v>
      </c>
      <c r="F8" s="8">
        <v>1.6903729999999999</v>
      </c>
      <c r="G8" s="8">
        <v>1.6405380000000001</v>
      </c>
      <c r="H8" s="8">
        <v>1.6351089999999999</v>
      </c>
      <c r="I8" s="8">
        <v>3.4862589999999999E-2</v>
      </c>
      <c r="J8" s="8">
        <v>1.4399850000000001</v>
      </c>
    </row>
    <row r="9" spans="1:15">
      <c r="A9" s="21" t="s">
        <v>29</v>
      </c>
      <c r="B9" s="8">
        <v>0.22817750000000001</v>
      </c>
      <c r="C9" s="8">
        <v>9.2705120000000002E-2</v>
      </c>
      <c r="D9" s="8">
        <v>0.76368170000000002</v>
      </c>
      <c r="E9" s="8">
        <v>1.5337989999999999</v>
      </c>
      <c r="F9" s="8">
        <v>1.6972370000000001</v>
      </c>
      <c r="G9" s="8">
        <v>1.3809640000000001</v>
      </c>
      <c r="H9" s="8">
        <v>1.6522330000000001</v>
      </c>
      <c r="I9" s="8">
        <v>1.2692570000000001</v>
      </c>
      <c r="J9" s="8">
        <v>1.5284549999999999</v>
      </c>
    </row>
    <row r="10" spans="1:15">
      <c r="A10" s="21" t="s">
        <v>385</v>
      </c>
      <c r="B10" s="8">
        <f t="shared" ref="B10:J10" si="0">AVERAGE(B4:B9)</f>
        <v>0.19558841166666666</v>
      </c>
      <c r="C10" s="8">
        <f t="shared" si="0"/>
        <v>0.15224923500000001</v>
      </c>
      <c r="D10" s="8">
        <f t="shared" si="0"/>
        <v>0.80577185000000007</v>
      </c>
      <c r="E10" s="8">
        <f t="shared" si="0"/>
        <v>1.3352803333333334</v>
      </c>
      <c r="F10" s="8">
        <f t="shared" si="0"/>
        <v>1.3578159999999999</v>
      </c>
      <c r="G10" s="8">
        <f t="shared" si="0"/>
        <v>1.3748005000000001</v>
      </c>
      <c r="H10" s="8">
        <f t="shared" si="0"/>
        <v>1.4543600333333335</v>
      </c>
      <c r="I10" s="8">
        <f t="shared" si="0"/>
        <v>1.1125859316666666</v>
      </c>
      <c r="J10" s="8">
        <f t="shared" si="0"/>
        <v>1.1683028533333333</v>
      </c>
    </row>
    <row r="11" spans="1:15">
      <c r="A11" s="21" t="s">
        <v>255</v>
      </c>
      <c r="B11" s="8">
        <f t="shared" ref="B11:J11" si="1">STDEV(B4:B9)</f>
        <v>9.3158586077535591E-2</v>
      </c>
      <c r="C11" s="8">
        <f t="shared" si="1"/>
        <v>6.1755489122841803E-2</v>
      </c>
      <c r="D11" s="8">
        <f t="shared" si="1"/>
        <v>0.24978203937384916</v>
      </c>
      <c r="E11" s="8">
        <f t="shared" si="1"/>
        <v>0.22132700368429062</v>
      </c>
      <c r="F11" s="8">
        <f t="shared" si="1"/>
        <v>0.2756052700874928</v>
      </c>
      <c r="G11" s="8">
        <f t="shared" si="1"/>
        <v>0.22583786598951766</v>
      </c>
      <c r="H11" s="8">
        <f t="shared" si="1"/>
        <v>0.27973763125315582</v>
      </c>
      <c r="I11" s="8">
        <f t="shared" si="1"/>
        <v>0.5312441096458389</v>
      </c>
      <c r="J11" s="8">
        <f t="shared" si="1"/>
        <v>0.58522908895069936</v>
      </c>
    </row>
    <row r="12" spans="1:15">
      <c r="A12" s="21"/>
    </row>
    <row r="13" spans="1:15">
      <c r="A13" s="21"/>
      <c r="B13" s="114"/>
      <c r="E13" s="114"/>
    </row>
    <row r="14" spans="1:15">
      <c r="A14" s="21" t="s">
        <v>395</v>
      </c>
    </row>
    <row r="15" spans="1:15">
      <c r="A15" s="21" t="s">
        <v>13</v>
      </c>
      <c r="B15" s="8">
        <v>0.55225290000000005</v>
      </c>
      <c r="C15" s="8">
        <v>0.44261139999999999</v>
      </c>
      <c r="D15" s="8">
        <v>1.030546</v>
      </c>
      <c r="E15" s="8">
        <v>1.672976</v>
      </c>
      <c r="F15" s="8">
        <v>1.451184</v>
      </c>
      <c r="G15" s="8">
        <v>1.3804339999999999</v>
      </c>
      <c r="H15" s="8">
        <v>1.5452900000000001</v>
      </c>
      <c r="I15" s="8">
        <v>2.0819890000000001</v>
      </c>
      <c r="J15" s="8">
        <v>2.0220120000000001</v>
      </c>
    </row>
    <row r="16" spans="1:15">
      <c r="A16" s="21" t="s">
        <v>19</v>
      </c>
      <c r="B16" s="8">
        <v>0.64541890000000002</v>
      </c>
      <c r="C16" s="8">
        <v>2.2877520000000001E-3</v>
      </c>
      <c r="D16" s="8">
        <v>1.947643</v>
      </c>
      <c r="E16" s="8">
        <v>1.9917590000000001</v>
      </c>
      <c r="F16" s="8">
        <v>2.1317550000000001</v>
      </c>
      <c r="G16" s="8">
        <v>2.0864790000000002</v>
      </c>
      <c r="H16" s="8">
        <v>2.184272</v>
      </c>
      <c r="I16" s="8">
        <v>2.4199769999999998</v>
      </c>
      <c r="J16" s="8">
        <v>0.19319539999999999</v>
      </c>
    </row>
    <row r="17" spans="1:10">
      <c r="A17" s="21" t="s">
        <v>22</v>
      </c>
      <c r="B17" s="8">
        <v>0.49400070000000001</v>
      </c>
      <c r="C17" s="8">
        <v>0.73752620000000002</v>
      </c>
      <c r="D17" s="8">
        <v>1.5486519999999999</v>
      </c>
      <c r="E17" s="8">
        <v>1.6179680000000001</v>
      </c>
      <c r="F17" s="8">
        <v>1.910236</v>
      </c>
      <c r="G17" s="8">
        <v>2.9049459999999998</v>
      </c>
      <c r="H17" s="8">
        <v>2.063123</v>
      </c>
      <c r="I17" s="8">
        <v>1.9806779999999999</v>
      </c>
      <c r="J17" s="8">
        <v>3.2191179999999999</v>
      </c>
    </row>
    <row r="18" spans="1:10">
      <c r="A18" s="21" t="s">
        <v>24</v>
      </c>
      <c r="B18" s="8">
        <v>0.65602090000000002</v>
      </c>
      <c r="C18" s="8">
        <v>0.77646930000000003</v>
      </c>
      <c r="D18" s="8">
        <v>1.065442</v>
      </c>
      <c r="E18" s="8">
        <v>1.8043670000000001</v>
      </c>
      <c r="F18" s="8">
        <v>2.358311</v>
      </c>
      <c r="G18" s="8">
        <v>2.8783810000000001</v>
      </c>
      <c r="H18" s="8">
        <v>2.8404280000000002</v>
      </c>
      <c r="I18" s="8">
        <v>2.2222240000000002</v>
      </c>
      <c r="J18" s="8">
        <v>2.4301879999999998</v>
      </c>
    </row>
    <row r="19" spans="1:10">
      <c r="A19" s="21" t="s">
        <v>27</v>
      </c>
      <c r="B19" s="8">
        <v>2.9450529999999999E-2</v>
      </c>
      <c r="C19" s="8">
        <v>0.68234689999999998</v>
      </c>
      <c r="D19" s="8">
        <v>0.99814159999999996</v>
      </c>
      <c r="E19" s="8">
        <v>2.4423599999999999</v>
      </c>
      <c r="F19" s="8">
        <v>2.3938739999999998</v>
      </c>
      <c r="G19" s="8">
        <v>2.0993170000000001</v>
      </c>
      <c r="H19" s="8">
        <v>2.0730599999999999</v>
      </c>
      <c r="I19" s="8">
        <v>1.7260569999999999E-2</v>
      </c>
      <c r="J19" s="8">
        <v>2.470513</v>
      </c>
    </row>
    <row r="20" spans="1:10">
      <c r="A20" s="21" t="s">
        <v>29</v>
      </c>
      <c r="B20" s="8">
        <v>0.45766960000000001</v>
      </c>
      <c r="C20" s="8">
        <v>0.26908379999999998</v>
      </c>
      <c r="D20" s="8">
        <v>1.366981</v>
      </c>
      <c r="E20" s="8">
        <v>2.4842740000000001</v>
      </c>
      <c r="F20" s="8">
        <v>2.610919</v>
      </c>
      <c r="G20" s="8">
        <v>2.394625</v>
      </c>
      <c r="H20" s="8">
        <v>3.1138309999999998</v>
      </c>
      <c r="I20" s="8">
        <v>2.452569</v>
      </c>
      <c r="J20" s="8">
        <v>2.1940200000000001</v>
      </c>
    </row>
    <row r="21" spans="1:10">
      <c r="A21" s="21" t="s">
        <v>385</v>
      </c>
      <c r="B21" s="8">
        <f t="shared" ref="B21:J21" si="2">AVERAGE(B15:B20)</f>
        <v>0.47246892166666671</v>
      </c>
      <c r="C21" s="8">
        <f t="shared" si="2"/>
        <v>0.48505422533333337</v>
      </c>
      <c r="D21" s="8">
        <f t="shared" si="2"/>
        <v>1.3262342666666667</v>
      </c>
      <c r="E21" s="8">
        <f t="shared" si="2"/>
        <v>2.002284</v>
      </c>
      <c r="F21" s="8">
        <f t="shared" si="2"/>
        <v>2.1427131666666668</v>
      </c>
      <c r="G21" s="8">
        <f t="shared" si="2"/>
        <v>2.2906970000000002</v>
      </c>
      <c r="H21" s="8">
        <f t="shared" si="2"/>
        <v>2.303334</v>
      </c>
      <c r="I21" s="8">
        <f t="shared" si="2"/>
        <v>1.862449595</v>
      </c>
      <c r="J21" s="8">
        <f t="shared" si="2"/>
        <v>2.0881744000000002</v>
      </c>
    </row>
    <row r="22" spans="1:10">
      <c r="A22" s="21" t="s">
        <v>255</v>
      </c>
      <c r="B22" s="8">
        <f t="shared" ref="B22:J22" si="3">STDEV(B15:B20)</f>
        <v>0.2310482372619119</v>
      </c>
      <c r="C22" s="8">
        <f t="shared" si="3"/>
        <v>0.30629963402780386</v>
      </c>
      <c r="D22" s="8">
        <f t="shared" si="3"/>
        <v>0.37426400135715276</v>
      </c>
      <c r="E22" s="8">
        <f t="shared" si="3"/>
        <v>0.37984357493842158</v>
      </c>
      <c r="F22" s="8">
        <f t="shared" si="3"/>
        <v>0.41500823970008788</v>
      </c>
      <c r="G22" s="8">
        <f t="shared" si="3"/>
        <v>0.57278012747196494</v>
      </c>
      <c r="H22" s="8">
        <f t="shared" si="3"/>
        <v>0.57356939549142438</v>
      </c>
      <c r="I22" s="8">
        <f t="shared" si="3"/>
        <v>0.92254142303245612</v>
      </c>
      <c r="J22" s="8">
        <f t="shared" si="3"/>
        <v>1.0147626026485208</v>
      </c>
    </row>
    <row r="23" spans="1:10">
      <c r="A23" s="21"/>
    </row>
    <row r="24" spans="1:10">
      <c r="A24" s="21"/>
      <c r="E24" s="114"/>
    </row>
    <row r="25" spans="1:10">
      <c r="A25" s="21" t="s">
        <v>396</v>
      </c>
    </row>
    <row r="26" spans="1:10">
      <c r="A26" s="21" t="s">
        <v>13</v>
      </c>
      <c r="B26" s="8">
        <v>5.921475</v>
      </c>
      <c r="C26" s="8">
        <v>5.8823460000000001</v>
      </c>
      <c r="D26" s="8">
        <v>13.45792</v>
      </c>
      <c r="E26" s="8">
        <v>4.5702049999999996</v>
      </c>
      <c r="F26" s="8">
        <v>5.3507379999999998</v>
      </c>
      <c r="G26" s="8">
        <v>8.3831860000000002</v>
      </c>
      <c r="H26" s="8">
        <v>12.697749999999999</v>
      </c>
      <c r="I26" s="8">
        <v>12.46758</v>
      </c>
      <c r="J26" s="8">
        <v>17.19932</v>
      </c>
    </row>
    <row r="27" spans="1:10">
      <c r="A27" s="21" t="s">
        <v>19</v>
      </c>
      <c r="B27" s="8">
        <v>7.9619439999999999</v>
      </c>
      <c r="C27" s="8">
        <v>1.7841039999999999E-2</v>
      </c>
      <c r="D27" s="8">
        <v>11.886430000000001</v>
      </c>
      <c r="E27" s="8">
        <v>8.0001770000000008</v>
      </c>
      <c r="F27" s="8">
        <v>16.182749999999999</v>
      </c>
      <c r="G27" s="8">
        <v>8.4793459999999996</v>
      </c>
      <c r="H27" s="8">
        <v>12.57709</v>
      </c>
      <c r="I27" s="8">
        <v>15.27209</v>
      </c>
      <c r="J27" s="8">
        <v>0.39240039999999998</v>
      </c>
    </row>
    <row r="28" spans="1:10">
      <c r="A28" s="21" t="s">
        <v>22</v>
      </c>
      <c r="B28" s="8">
        <v>5.2518330000000004</v>
      </c>
      <c r="C28" s="8">
        <v>10.12041</v>
      </c>
      <c r="D28" s="8">
        <v>14.01</v>
      </c>
      <c r="E28" s="8">
        <v>6.8431490000000004</v>
      </c>
      <c r="F28" s="8">
        <v>8.8431639999999998</v>
      </c>
      <c r="G28" s="8">
        <v>17.73817</v>
      </c>
      <c r="H28" s="8">
        <v>8.3712769999999992</v>
      </c>
      <c r="I28" s="8">
        <v>9.0668369999999996</v>
      </c>
      <c r="J28" s="8">
        <v>19.122430000000001</v>
      </c>
    </row>
    <row r="29" spans="1:10">
      <c r="A29" s="21" t="s">
        <v>24</v>
      </c>
      <c r="B29" s="8">
        <v>8.0808129999999991</v>
      </c>
      <c r="C29" s="8">
        <v>10.240270000000001</v>
      </c>
      <c r="D29" s="8">
        <v>7.9563069999999998</v>
      </c>
      <c r="E29" s="8">
        <v>7.6125629999999997</v>
      </c>
      <c r="F29" s="8">
        <v>10.54433</v>
      </c>
      <c r="G29" s="8">
        <v>18.754639999999998</v>
      </c>
      <c r="H29" s="8">
        <v>19.815480000000001</v>
      </c>
      <c r="I29" s="8">
        <v>8.7423339999999996</v>
      </c>
      <c r="J29" s="8">
        <v>11.84144</v>
      </c>
    </row>
    <row r="30" spans="1:10">
      <c r="A30" s="21" t="s">
        <v>27</v>
      </c>
      <c r="B30" s="8">
        <v>3.2569530000000002</v>
      </c>
      <c r="C30" s="8">
        <v>7.9681389999999999</v>
      </c>
      <c r="D30" s="8">
        <v>8.2469560000000008</v>
      </c>
      <c r="E30" s="8">
        <v>17.96491</v>
      </c>
      <c r="F30" s="8">
        <v>16.49342</v>
      </c>
      <c r="G30" s="8">
        <v>15.79679</v>
      </c>
      <c r="H30" s="8">
        <v>7.8082510000000003</v>
      </c>
      <c r="I30" s="8">
        <v>0.196883</v>
      </c>
      <c r="J30" s="8">
        <v>11.75475</v>
      </c>
    </row>
    <row r="31" spans="1:10">
      <c r="A31" s="21" t="s">
        <v>29</v>
      </c>
      <c r="B31" s="8">
        <v>6.3238120000000002</v>
      </c>
      <c r="C31" s="8">
        <v>2.4822769999999998</v>
      </c>
      <c r="D31" s="8">
        <v>13.16273</v>
      </c>
      <c r="E31" s="8">
        <v>15.64063</v>
      </c>
      <c r="F31" s="8">
        <v>8.8025359999999999</v>
      </c>
      <c r="G31" s="8">
        <v>19.947369999999999</v>
      </c>
      <c r="H31" s="8">
        <v>17.82518</v>
      </c>
      <c r="I31" s="8">
        <v>15.17144</v>
      </c>
      <c r="J31" s="8">
        <v>9.1824130000000004</v>
      </c>
    </row>
    <row r="32" spans="1:10">
      <c r="A32" s="21" t="s">
        <v>385</v>
      </c>
      <c r="B32" s="8">
        <f t="shared" ref="B32:J32" si="4">AVERAGE(B26:B31)</f>
        <v>6.1328050000000003</v>
      </c>
      <c r="C32" s="8">
        <f t="shared" si="4"/>
        <v>6.118547173333333</v>
      </c>
      <c r="D32" s="8">
        <f t="shared" si="4"/>
        <v>11.453390499999999</v>
      </c>
      <c r="E32" s="8">
        <f t="shared" si="4"/>
        <v>10.105272333333334</v>
      </c>
      <c r="F32" s="8">
        <f t="shared" si="4"/>
        <v>11.036156333333333</v>
      </c>
      <c r="G32" s="8">
        <f t="shared" si="4"/>
        <v>14.849917</v>
      </c>
      <c r="H32" s="8">
        <f t="shared" si="4"/>
        <v>13.182504666666667</v>
      </c>
      <c r="I32" s="8">
        <f t="shared" si="4"/>
        <v>10.152860666666667</v>
      </c>
      <c r="J32" s="8">
        <f t="shared" si="4"/>
        <v>11.582125566666667</v>
      </c>
    </row>
    <row r="33" spans="1:10">
      <c r="A33" s="21" t="s">
        <v>255</v>
      </c>
      <c r="B33" s="8">
        <f t="shared" ref="B33:J33" si="5">STDEV(B26:B31)</f>
        <v>1.803788517704999</v>
      </c>
      <c r="C33" s="8">
        <f t="shared" si="5"/>
        <v>4.1694450988505025</v>
      </c>
      <c r="D33" s="8">
        <f t="shared" si="5"/>
        <v>2.6897795670070654</v>
      </c>
      <c r="E33" s="8">
        <f t="shared" si="5"/>
        <v>5.3728490386112888</v>
      </c>
      <c r="F33" s="8">
        <f t="shared" si="5"/>
        <v>4.4414705454836731</v>
      </c>
      <c r="G33" s="8">
        <f t="shared" si="5"/>
        <v>5.155041170669306</v>
      </c>
      <c r="H33" s="8">
        <f t="shared" si="5"/>
        <v>4.8617450398596516</v>
      </c>
      <c r="I33" s="8">
        <f t="shared" si="5"/>
        <v>5.6398776097612471</v>
      </c>
      <c r="J33" s="8">
        <f t="shared" si="5"/>
        <v>6.6253253071481311</v>
      </c>
    </row>
    <row r="34" spans="1:10">
      <c r="A34" s="21"/>
    </row>
    <row r="35" spans="1:10">
      <c r="A35" s="21"/>
      <c r="E35" s="114"/>
    </row>
    <row r="36" spans="1:10">
      <c r="A36" s="21" t="s">
        <v>397</v>
      </c>
    </row>
    <row r="37" spans="1:10">
      <c r="A37" s="21" t="s">
        <v>13</v>
      </c>
      <c r="B37" s="8">
        <v>41.206220000000002</v>
      </c>
      <c r="C37" s="8">
        <v>39.406329999999997</v>
      </c>
      <c r="D37" s="8">
        <v>58.442</v>
      </c>
      <c r="E37" s="8">
        <v>23.122820000000001</v>
      </c>
      <c r="F37" s="8">
        <v>28.368480000000002</v>
      </c>
      <c r="G37" s="8">
        <v>45.661200000000001</v>
      </c>
      <c r="H37" s="8">
        <v>63.842970000000001</v>
      </c>
      <c r="I37" s="8">
        <v>64.209410000000005</v>
      </c>
      <c r="J37" s="8">
        <v>67.780959999999993</v>
      </c>
    </row>
    <row r="38" spans="1:10">
      <c r="A38" s="21" t="s">
        <v>19</v>
      </c>
      <c r="B38" s="8">
        <v>7.792529</v>
      </c>
      <c r="C38" s="8">
        <v>59.545749999999998</v>
      </c>
      <c r="D38" s="8">
        <v>64.115449999999996</v>
      </c>
      <c r="E38" s="8">
        <v>16.092559999999999</v>
      </c>
      <c r="F38" s="8">
        <v>53.456629999999997</v>
      </c>
      <c r="G38" s="8">
        <v>46.593240000000002</v>
      </c>
      <c r="H38" s="8">
        <v>17.38748</v>
      </c>
      <c r="I38" s="8">
        <v>72.728080000000006</v>
      </c>
      <c r="J38" s="8">
        <v>40.710430000000002</v>
      </c>
    </row>
    <row r="39" spans="1:10">
      <c r="A39" s="21" t="s">
        <v>22</v>
      </c>
      <c r="B39" s="8">
        <v>43.014319999999998</v>
      </c>
      <c r="C39" s="8">
        <v>25.28275</v>
      </c>
      <c r="D39" s="8">
        <v>33.691360000000003</v>
      </c>
      <c r="E39" s="8">
        <v>38.652070000000002</v>
      </c>
      <c r="F39" s="8">
        <v>44.477110000000003</v>
      </c>
      <c r="G39" s="8">
        <v>71.087739999999997</v>
      </c>
      <c r="H39" s="8">
        <v>43.639290000000003</v>
      </c>
      <c r="I39" s="8">
        <v>47.432389999999998</v>
      </c>
      <c r="J39" s="8">
        <v>27.933730000000001</v>
      </c>
    </row>
    <row r="40" spans="1:10">
      <c r="A40" s="21" t="s">
        <v>24</v>
      </c>
      <c r="B40" s="8">
        <v>49.608640000000001</v>
      </c>
      <c r="C40" s="8">
        <v>29.5792</v>
      </c>
      <c r="D40" s="8">
        <v>55.544879999999999</v>
      </c>
      <c r="E40" s="8">
        <v>39.85895</v>
      </c>
      <c r="F40" s="8">
        <v>47.199210000000001</v>
      </c>
      <c r="G40" s="8">
        <v>74.8416</v>
      </c>
      <c r="H40" s="8">
        <v>76.745329999999996</v>
      </c>
      <c r="I40" s="8">
        <v>45.428730000000002</v>
      </c>
      <c r="J40" s="8">
        <v>55.825749999999999</v>
      </c>
    </row>
    <row r="41" spans="1:10">
      <c r="A41" s="21" t="s">
        <v>27</v>
      </c>
      <c r="B41" s="8">
        <v>36.27129</v>
      </c>
      <c r="C41" s="8">
        <v>56.70467</v>
      </c>
      <c r="D41" s="8">
        <v>5.6845429999999997</v>
      </c>
      <c r="E41" s="8">
        <v>26.64264</v>
      </c>
      <c r="F41" s="8">
        <v>66.163979999999995</v>
      </c>
      <c r="G41" s="8">
        <v>67.242189999999994</v>
      </c>
      <c r="H41" s="8">
        <v>45.260289999999998</v>
      </c>
      <c r="I41" s="8">
        <v>49.14226</v>
      </c>
      <c r="J41" s="8">
        <v>48.819920000000003</v>
      </c>
    </row>
    <row r="42" spans="1:10">
      <c r="A42" s="21" t="s">
        <v>29</v>
      </c>
      <c r="B42" s="8">
        <v>43.432549999999999</v>
      </c>
      <c r="C42" s="8">
        <v>39.119320000000002</v>
      </c>
      <c r="D42" s="8">
        <v>56.474980000000002</v>
      </c>
      <c r="E42" s="8">
        <v>58.572870000000002</v>
      </c>
      <c r="F42" s="8">
        <v>42.841259999999998</v>
      </c>
      <c r="G42" s="8">
        <v>78.441999999999993</v>
      </c>
      <c r="H42" s="8">
        <v>69.96293</v>
      </c>
      <c r="I42" s="8">
        <v>65.663510000000002</v>
      </c>
      <c r="J42" s="8">
        <v>47.508069999999996</v>
      </c>
    </row>
    <row r="43" spans="1:10">
      <c r="A43" s="21" t="s">
        <v>385</v>
      </c>
      <c r="B43" s="8">
        <f t="shared" ref="B43:J43" si="6">AVERAGE(B37:B42)</f>
        <v>36.887591499999999</v>
      </c>
      <c r="C43" s="8">
        <f t="shared" si="6"/>
        <v>41.606336666666664</v>
      </c>
      <c r="D43" s="8">
        <f t="shared" si="6"/>
        <v>45.658868833333337</v>
      </c>
      <c r="E43" s="8">
        <f t="shared" si="6"/>
        <v>33.823651666666663</v>
      </c>
      <c r="F43" s="8">
        <f t="shared" si="6"/>
        <v>47.084444999999995</v>
      </c>
      <c r="G43" s="8">
        <f t="shared" si="6"/>
        <v>63.977995</v>
      </c>
      <c r="H43" s="8">
        <f t="shared" si="6"/>
        <v>52.806381666666674</v>
      </c>
      <c r="I43" s="8">
        <f t="shared" si="6"/>
        <v>57.434063333333334</v>
      </c>
      <c r="J43" s="8">
        <f t="shared" si="6"/>
        <v>48.096476666666661</v>
      </c>
    </row>
    <row r="44" spans="1:10">
      <c r="A44" s="21" t="s">
        <v>255</v>
      </c>
      <c r="B44" s="8">
        <f t="shared" ref="B44:J44" si="7">STDEV(B37:B42)</f>
        <v>14.884565162325769</v>
      </c>
      <c r="C44" s="8">
        <f t="shared" si="7"/>
        <v>13.942159083048315</v>
      </c>
      <c r="D44" s="8">
        <f t="shared" si="7"/>
        <v>22.180817396338306</v>
      </c>
      <c r="E44" s="8">
        <f t="shared" si="7"/>
        <v>15.183732059621475</v>
      </c>
      <c r="F44" s="8">
        <f t="shared" si="7"/>
        <v>12.487887964931055</v>
      </c>
      <c r="G44" s="8">
        <f t="shared" si="7"/>
        <v>14.325944874116653</v>
      </c>
      <c r="H44" s="8">
        <f t="shared" si="7"/>
        <v>21.838975911884134</v>
      </c>
      <c r="I44" s="8">
        <f t="shared" si="7"/>
        <v>11.493054956130127</v>
      </c>
      <c r="J44" s="8">
        <f t="shared" si="7"/>
        <v>13.484659295139309</v>
      </c>
    </row>
    <row r="45" spans="1:10">
      <c r="A45" s="21"/>
    </row>
    <row r="46" spans="1:10">
      <c r="A46" s="21"/>
      <c r="E46" s="114"/>
    </row>
    <row r="47" spans="1:10">
      <c r="A47" s="21" t="s">
        <v>398</v>
      </c>
    </row>
    <row r="48" spans="1:10">
      <c r="A48" s="21" t="s">
        <v>13</v>
      </c>
      <c r="B48" s="8">
        <v>55.086280000000002</v>
      </c>
      <c r="C48" s="8">
        <v>14.8858</v>
      </c>
      <c r="D48" s="8">
        <v>96.029300000000006</v>
      </c>
      <c r="E48" s="8">
        <v>59.486890000000002</v>
      </c>
      <c r="F48" s="8">
        <v>21.53417</v>
      </c>
      <c r="G48" s="8">
        <v>86.701509999999999</v>
      </c>
      <c r="H48" s="8">
        <v>87.170839999999998</v>
      </c>
      <c r="I48" s="8">
        <v>87.21969</v>
      </c>
      <c r="J48" s="8">
        <v>94.573880000000003</v>
      </c>
    </row>
    <row r="49" spans="1:10">
      <c r="A49" s="21" t="s">
        <v>19</v>
      </c>
      <c r="B49" s="8">
        <v>8.3202829999999999</v>
      </c>
      <c r="C49" s="8">
        <v>56.510800000000003</v>
      </c>
      <c r="D49" s="8">
        <v>89.552310000000006</v>
      </c>
      <c r="E49" s="8">
        <v>16.979669999999999</v>
      </c>
      <c r="F49" s="8">
        <v>37.506129999999999</v>
      </c>
      <c r="G49" s="8">
        <v>90.054950000000005</v>
      </c>
      <c r="H49" s="8">
        <v>20.30959</v>
      </c>
      <c r="I49" s="8">
        <v>94.250129999999999</v>
      </c>
      <c r="J49" s="8">
        <v>93.669749999999993</v>
      </c>
    </row>
    <row r="50" spans="1:10">
      <c r="A50" s="21" t="s">
        <v>22</v>
      </c>
      <c r="B50" s="8">
        <v>64.441559999999996</v>
      </c>
      <c r="C50" s="8">
        <v>45.349699999999999</v>
      </c>
      <c r="D50" s="8">
        <v>23.38364</v>
      </c>
      <c r="E50" s="8">
        <v>86.653289999999998</v>
      </c>
      <c r="F50" s="8">
        <v>83.563059999999993</v>
      </c>
      <c r="G50" s="8">
        <v>91.964230000000001</v>
      </c>
      <c r="H50" s="8">
        <v>78.623769999999993</v>
      </c>
      <c r="I50" s="8">
        <v>81.660830000000004</v>
      </c>
      <c r="J50" s="8">
        <v>27.46771</v>
      </c>
    </row>
    <row r="51" spans="1:10">
      <c r="A51" s="21" t="s">
        <v>24</v>
      </c>
      <c r="B51" s="8">
        <v>21.558319999999998</v>
      </c>
      <c r="C51" s="8">
        <v>77.065870000000004</v>
      </c>
      <c r="D51" s="8">
        <v>70.589039999999997</v>
      </c>
      <c r="E51" s="8">
        <v>71.067019999999999</v>
      </c>
      <c r="F51" s="8">
        <v>34.852460000000001</v>
      </c>
      <c r="G51" s="8">
        <v>88.281829999999999</v>
      </c>
      <c r="H51" s="8">
        <v>91.581270000000004</v>
      </c>
      <c r="I51" s="8">
        <v>87.39855</v>
      </c>
      <c r="J51" s="8">
        <v>93.468220000000002</v>
      </c>
    </row>
    <row r="52" spans="1:10">
      <c r="A52" s="21" t="s">
        <v>27</v>
      </c>
      <c r="B52" s="8">
        <v>54.525889999999997</v>
      </c>
      <c r="C52" s="8">
        <v>49.031010000000002</v>
      </c>
      <c r="D52" s="8">
        <v>9.3799600000000005</v>
      </c>
      <c r="E52" s="8">
        <v>23.036950000000001</v>
      </c>
      <c r="F52" s="8">
        <v>58.666629999999998</v>
      </c>
      <c r="G52" s="8">
        <v>51.344180000000001</v>
      </c>
      <c r="H52" s="8">
        <v>89.930689999999998</v>
      </c>
      <c r="I52" s="8">
        <v>82.612170000000006</v>
      </c>
      <c r="J52" s="8">
        <v>91.666749999999993</v>
      </c>
    </row>
    <row r="53" spans="1:10">
      <c r="A53" s="21" t="s">
        <v>29</v>
      </c>
      <c r="B53" s="8">
        <v>8.1320209999999999</v>
      </c>
      <c r="C53" s="8">
        <v>34.377690000000001</v>
      </c>
      <c r="D53" s="8">
        <v>35.355829999999997</v>
      </c>
      <c r="E53" s="8">
        <v>53.005279999999999</v>
      </c>
      <c r="F53" s="8">
        <v>83.498459999999994</v>
      </c>
      <c r="G53" s="8">
        <v>96.569559999999996</v>
      </c>
      <c r="H53" s="8">
        <v>90.152060000000006</v>
      </c>
      <c r="I53" s="8">
        <v>81.076580000000007</v>
      </c>
      <c r="J53" s="8">
        <v>88.286770000000004</v>
      </c>
    </row>
    <row r="54" spans="1:10">
      <c r="A54" s="21" t="s">
        <v>385</v>
      </c>
      <c r="B54" s="8">
        <f t="shared" ref="B54:J54" si="8">AVERAGE(B48:B53)</f>
        <v>35.344059000000001</v>
      </c>
      <c r="C54" s="8">
        <f t="shared" si="8"/>
        <v>46.203478333333329</v>
      </c>
      <c r="D54" s="8">
        <f t="shared" si="8"/>
        <v>54.048346666666667</v>
      </c>
      <c r="E54" s="8">
        <f t="shared" si="8"/>
        <v>51.70485</v>
      </c>
      <c r="F54" s="8">
        <f t="shared" si="8"/>
        <v>53.270151666666663</v>
      </c>
      <c r="G54" s="8">
        <f t="shared" si="8"/>
        <v>84.152709999999999</v>
      </c>
      <c r="H54" s="8">
        <f t="shared" si="8"/>
        <v>76.294703333333345</v>
      </c>
      <c r="I54" s="8">
        <f t="shared" si="8"/>
        <v>85.702991666666662</v>
      </c>
      <c r="J54" s="8">
        <f t="shared" si="8"/>
        <v>81.522180000000006</v>
      </c>
    </row>
    <row r="55" spans="1:10">
      <c r="A55" s="21" t="s">
        <v>255</v>
      </c>
      <c r="B55" s="8">
        <f t="shared" ref="B55:J55" si="9">STDEV(B48:B53)</f>
        <v>25.554602623238509</v>
      </c>
      <c r="C55" s="8">
        <f t="shared" si="9"/>
        <v>20.919360496871246</v>
      </c>
      <c r="D55" s="8">
        <f t="shared" si="9"/>
        <v>36.280919428224905</v>
      </c>
      <c r="E55" s="8">
        <f t="shared" si="9"/>
        <v>27.152255769020005</v>
      </c>
      <c r="F55" s="8">
        <f t="shared" si="9"/>
        <v>26.288481037030206</v>
      </c>
      <c r="G55" s="8">
        <f t="shared" si="9"/>
        <v>16.431555616105339</v>
      </c>
      <c r="H55" s="8">
        <f t="shared" si="9"/>
        <v>27.819753420514449</v>
      </c>
      <c r="I55" s="8">
        <f t="shared" si="9"/>
        <v>5.0104850066492199</v>
      </c>
      <c r="J55" s="8">
        <f t="shared" si="9"/>
        <v>26.575085726335487</v>
      </c>
    </row>
    <row r="56" spans="1:10">
      <c r="A56" s="21"/>
    </row>
    <row r="57" spans="1:10">
      <c r="A57" s="21"/>
      <c r="E57" s="114"/>
    </row>
    <row r="58" spans="1:10">
      <c r="A58" s="21" t="s">
        <v>399</v>
      </c>
    </row>
    <row r="59" spans="1:10">
      <c r="A59" s="21" t="s">
        <v>13</v>
      </c>
      <c r="B59" s="8">
        <v>72.186499999999995</v>
      </c>
      <c r="C59" s="8">
        <v>14.93642</v>
      </c>
      <c r="D59" s="8">
        <v>96.971339999999998</v>
      </c>
      <c r="E59" s="8">
        <v>54.850749999999998</v>
      </c>
      <c r="F59" s="8">
        <v>24.193180000000002</v>
      </c>
      <c r="G59" s="8">
        <v>95.200019999999995</v>
      </c>
      <c r="H59" s="8">
        <v>87.013720000000006</v>
      </c>
      <c r="I59" s="8">
        <v>94.541309999999996</v>
      </c>
      <c r="J59" s="8">
        <v>97.833240000000004</v>
      </c>
    </row>
    <row r="60" spans="1:10">
      <c r="A60" s="21" t="s">
        <v>19</v>
      </c>
      <c r="B60" s="8">
        <v>9.1072229999999994</v>
      </c>
      <c r="C60" s="8">
        <v>45.307290000000002</v>
      </c>
      <c r="D60" s="8">
        <v>93.137540000000001</v>
      </c>
      <c r="E60" s="8">
        <v>19.00769</v>
      </c>
      <c r="F60" s="8">
        <v>43.43562</v>
      </c>
      <c r="G60" s="8">
        <v>95.82253</v>
      </c>
      <c r="H60" s="8">
        <v>22.426100000000002</v>
      </c>
      <c r="I60" s="8">
        <v>91.517719999999997</v>
      </c>
      <c r="J60" s="8">
        <v>94.049480000000003</v>
      </c>
    </row>
    <row r="61" spans="1:10">
      <c r="A61" s="21" t="s">
        <v>22</v>
      </c>
      <c r="B61" s="8">
        <v>45.50027</v>
      </c>
      <c r="C61" s="8">
        <v>56.413829999999997</v>
      </c>
      <c r="D61" s="8">
        <v>29.81288</v>
      </c>
      <c r="E61" s="8">
        <v>97.499660000000006</v>
      </c>
      <c r="F61" s="8">
        <v>74.564179999999993</v>
      </c>
      <c r="G61" s="8">
        <v>88.760859999999994</v>
      </c>
      <c r="H61" s="8">
        <v>82.449849999999998</v>
      </c>
      <c r="I61" s="8">
        <v>93.325450000000004</v>
      </c>
      <c r="J61" s="8">
        <v>32.439630000000001</v>
      </c>
    </row>
    <row r="62" spans="1:10">
      <c r="A62" s="21" t="s">
        <v>24</v>
      </c>
      <c r="B62" s="8">
        <v>20.102039999999999</v>
      </c>
      <c r="C62" s="8">
        <v>74.950550000000007</v>
      </c>
      <c r="D62" s="8">
        <v>68.915679999999995</v>
      </c>
      <c r="E62" s="8">
        <v>65.755200000000002</v>
      </c>
      <c r="F62" s="8">
        <v>43.764870000000002</v>
      </c>
      <c r="G62" s="8">
        <v>85.032259999999994</v>
      </c>
      <c r="H62" s="8">
        <v>96.686670000000007</v>
      </c>
      <c r="I62" s="8">
        <v>91.158150000000006</v>
      </c>
      <c r="J62" s="8">
        <v>96.698509999999999</v>
      </c>
    </row>
    <row r="63" spans="1:10">
      <c r="A63" s="21" t="s">
        <v>27</v>
      </c>
      <c r="B63" s="8">
        <v>54.939140000000002</v>
      </c>
      <c r="C63" s="8">
        <v>43.587719999999997</v>
      </c>
      <c r="D63" s="8">
        <v>15.56179</v>
      </c>
      <c r="E63" s="8">
        <v>23.412389999999998</v>
      </c>
      <c r="F63" s="8">
        <v>56.978850000000001</v>
      </c>
      <c r="G63" s="8">
        <v>48.338090000000001</v>
      </c>
      <c r="H63" s="8">
        <v>90.530690000000007</v>
      </c>
      <c r="I63" s="8">
        <v>75.29468</v>
      </c>
      <c r="J63" s="8">
        <v>94.540149999999997</v>
      </c>
    </row>
    <row r="64" spans="1:10">
      <c r="A64" s="21" t="s">
        <v>29</v>
      </c>
      <c r="B64" s="8">
        <v>13.36523</v>
      </c>
      <c r="C64" s="8">
        <v>24.798190000000002</v>
      </c>
      <c r="D64" s="8">
        <v>41.838160000000002</v>
      </c>
      <c r="E64" s="8">
        <v>46.906739999999999</v>
      </c>
      <c r="F64" s="8">
        <v>86.129440000000002</v>
      </c>
      <c r="G64" s="8">
        <v>95.183850000000007</v>
      </c>
      <c r="H64" s="8">
        <v>93.140110000000007</v>
      </c>
      <c r="I64" s="8">
        <v>91.421840000000003</v>
      </c>
      <c r="J64" s="8">
        <v>96.872259999999997</v>
      </c>
    </row>
    <row r="65" spans="1:10">
      <c r="A65" s="21" t="s">
        <v>385</v>
      </c>
      <c r="B65" s="8">
        <f t="shared" ref="B65:J65" si="10">AVERAGE(B59:B64)</f>
        <v>35.866733833333335</v>
      </c>
      <c r="C65" s="8">
        <f t="shared" si="10"/>
        <v>43.332333333333331</v>
      </c>
      <c r="D65" s="8">
        <f t="shared" si="10"/>
        <v>57.706231666666667</v>
      </c>
      <c r="E65" s="8">
        <f t="shared" si="10"/>
        <v>51.238738333333337</v>
      </c>
      <c r="F65" s="8">
        <f t="shared" si="10"/>
        <v>54.844356666666663</v>
      </c>
      <c r="G65" s="8">
        <f t="shared" si="10"/>
        <v>84.722935000000007</v>
      </c>
      <c r="H65" s="8">
        <f t="shared" si="10"/>
        <v>78.707856666666672</v>
      </c>
      <c r="I65" s="8">
        <f t="shared" si="10"/>
        <v>89.543191666666658</v>
      </c>
      <c r="J65" s="8">
        <f t="shared" si="10"/>
        <v>85.405545000000004</v>
      </c>
    </row>
    <row r="66" spans="1:10">
      <c r="A66" s="21" t="s">
        <v>255</v>
      </c>
      <c r="B66" s="8">
        <f t="shared" ref="B66:J66" si="11">STDEV(B59:B64)</f>
        <v>25.481765154406641</v>
      </c>
      <c r="C66" s="8">
        <f t="shared" si="11"/>
        <v>21.562213335090338</v>
      </c>
      <c r="D66" s="8">
        <f t="shared" si="11"/>
        <v>33.848978724894138</v>
      </c>
      <c r="E66" s="8">
        <f t="shared" si="11"/>
        <v>28.968118712968174</v>
      </c>
      <c r="F66" s="8">
        <f t="shared" si="11"/>
        <v>22.647705673815782</v>
      </c>
      <c r="G66" s="8">
        <f t="shared" si="11"/>
        <v>18.344800504959093</v>
      </c>
      <c r="H66" s="8">
        <f t="shared" si="11"/>
        <v>28.006902957966403</v>
      </c>
      <c r="I66" s="8">
        <f t="shared" si="11"/>
        <v>7.1041244612842096</v>
      </c>
      <c r="J66" s="8">
        <f t="shared" si="11"/>
        <v>25.988501253334878</v>
      </c>
    </row>
    <row r="67" spans="1:10">
      <c r="A67" s="21"/>
    </row>
    <row r="68" spans="1:10">
      <c r="A68" s="21"/>
      <c r="E68" s="114"/>
    </row>
    <row r="69" spans="1:10">
      <c r="A69" s="21" t="s">
        <v>400</v>
      </c>
    </row>
    <row r="70" spans="1:10">
      <c r="A70" s="21" t="s">
        <v>13</v>
      </c>
      <c r="B70" s="8">
        <v>73.284040000000005</v>
      </c>
      <c r="C70" s="8">
        <v>17.858750000000001</v>
      </c>
      <c r="D70" s="8">
        <v>96.821399999999997</v>
      </c>
      <c r="E70" s="8">
        <v>48.514749999999999</v>
      </c>
      <c r="F70" s="8">
        <v>29.54513</v>
      </c>
      <c r="G70" s="8">
        <v>95.834680000000006</v>
      </c>
      <c r="H70" s="8">
        <v>71.174030000000002</v>
      </c>
      <c r="I70" s="8">
        <v>91.522689999999997</v>
      </c>
      <c r="J70" s="8">
        <v>97.676569999999998</v>
      </c>
    </row>
    <row r="71" spans="1:10">
      <c r="A71" s="21" t="s">
        <v>19</v>
      </c>
      <c r="B71" s="8">
        <v>14.32361</v>
      </c>
      <c r="C71" s="8">
        <v>45.730510000000002</v>
      </c>
      <c r="D71" s="8">
        <v>92.33032</v>
      </c>
      <c r="E71" s="8">
        <v>23.51689</v>
      </c>
      <c r="F71" s="8">
        <v>50.110129999999998</v>
      </c>
      <c r="G71" s="8">
        <v>95.996319999999997</v>
      </c>
      <c r="H71" s="8">
        <v>31.79278</v>
      </c>
      <c r="I71" s="8">
        <v>91.920559999999995</v>
      </c>
      <c r="J71" s="8">
        <v>93.750979999999998</v>
      </c>
    </row>
    <row r="72" spans="1:10">
      <c r="A72" s="21" t="s">
        <v>22</v>
      </c>
      <c r="B72" s="8">
        <v>36.538319999999999</v>
      </c>
      <c r="C72" s="8">
        <v>57.38129</v>
      </c>
      <c r="D72" s="8">
        <v>33.170940000000002</v>
      </c>
      <c r="E72" s="8">
        <v>95.860770000000002</v>
      </c>
      <c r="F72" s="8">
        <v>76.565049999999999</v>
      </c>
      <c r="G72" s="8">
        <v>89.265320000000003</v>
      </c>
      <c r="H72" s="8">
        <v>84.684659999999994</v>
      </c>
      <c r="I72" s="8">
        <v>93.182270000000003</v>
      </c>
      <c r="J72" s="8">
        <v>40.336359999999999</v>
      </c>
    </row>
    <row r="73" spans="1:10">
      <c r="A73" s="21" t="s">
        <v>24</v>
      </c>
      <c r="B73" s="8">
        <v>21.009530000000002</v>
      </c>
      <c r="C73" s="8">
        <v>76.485579999999999</v>
      </c>
      <c r="D73" s="8">
        <v>68.922179999999997</v>
      </c>
      <c r="E73" s="8">
        <v>65.828630000000004</v>
      </c>
      <c r="F73" s="8">
        <v>45.608280000000001</v>
      </c>
      <c r="G73" s="8">
        <v>88.432749999999999</v>
      </c>
      <c r="H73" s="8">
        <v>94.884699999999995</v>
      </c>
      <c r="I73" s="8">
        <v>91.060019999999994</v>
      </c>
      <c r="J73" s="8">
        <v>97.064229999999995</v>
      </c>
    </row>
    <row r="74" spans="1:10">
      <c r="A74" s="21" t="s">
        <v>27</v>
      </c>
      <c r="B74" s="8">
        <v>45.387790000000003</v>
      </c>
      <c r="C74" s="8">
        <v>46.683410000000002</v>
      </c>
      <c r="D74" s="8">
        <v>21.966270000000002</v>
      </c>
      <c r="E74" s="8">
        <v>28.990559999999999</v>
      </c>
      <c r="F74" s="8">
        <v>60.041910000000001</v>
      </c>
      <c r="G74" s="8">
        <v>52.912979999999997</v>
      </c>
      <c r="H74" s="8">
        <v>91.01782</v>
      </c>
      <c r="I74" s="8">
        <v>75.828029999999998</v>
      </c>
      <c r="J74" s="8">
        <v>93.456659999999999</v>
      </c>
    </row>
    <row r="75" spans="1:10">
      <c r="A75" s="21" t="s">
        <v>29</v>
      </c>
      <c r="B75" s="8">
        <v>16.29355</v>
      </c>
      <c r="C75" s="8">
        <v>22.849879999999999</v>
      </c>
      <c r="D75" s="8">
        <v>42.387149999999998</v>
      </c>
      <c r="E75" s="8">
        <v>50.128570000000003</v>
      </c>
      <c r="F75" s="8">
        <v>88.134929999999997</v>
      </c>
      <c r="G75" s="8">
        <v>93.197329999999994</v>
      </c>
      <c r="H75" s="8">
        <v>93.604039999999998</v>
      </c>
      <c r="I75" s="8">
        <v>90.440269999999998</v>
      </c>
      <c r="J75" s="8">
        <v>96.206329999999994</v>
      </c>
    </row>
    <row r="76" spans="1:10">
      <c r="A76" s="21" t="s">
        <v>385</v>
      </c>
      <c r="B76" s="8">
        <f t="shared" ref="B76:J76" si="12">AVERAGE(B70:B75)</f>
        <v>34.472806666666671</v>
      </c>
      <c r="C76" s="8">
        <f t="shared" si="12"/>
        <v>44.498236666666664</v>
      </c>
      <c r="D76" s="8">
        <f t="shared" si="12"/>
        <v>59.266376666666673</v>
      </c>
      <c r="E76" s="8">
        <f t="shared" si="12"/>
        <v>52.140028333333333</v>
      </c>
      <c r="F76" s="8">
        <f t="shared" si="12"/>
        <v>58.334238333333332</v>
      </c>
      <c r="G76" s="8">
        <f t="shared" si="12"/>
        <v>85.939896666666655</v>
      </c>
      <c r="H76" s="8">
        <f t="shared" si="12"/>
        <v>77.859671666666671</v>
      </c>
      <c r="I76" s="8">
        <f t="shared" si="12"/>
        <v>88.992306666666664</v>
      </c>
      <c r="J76" s="8">
        <f t="shared" si="12"/>
        <v>86.415188333333333</v>
      </c>
    </row>
    <row r="77" spans="1:10">
      <c r="A77" s="21" t="s">
        <v>255</v>
      </c>
      <c r="B77" s="8">
        <f t="shared" ref="B77:J77" si="13">STDEV(B70:B75)</f>
        <v>22.57188674975724</v>
      </c>
      <c r="C77" s="8">
        <f t="shared" si="13"/>
        <v>21.788851612737794</v>
      </c>
      <c r="D77" s="8">
        <f t="shared" si="13"/>
        <v>31.477028860305502</v>
      </c>
      <c r="E77" s="8">
        <f t="shared" si="13"/>
        <v>26.348630352479748</v>
      </c>
      <c r="F77" s="8">
        <f t="shared" si="13"/>
        <v>21.362390279961094</v>
      </c>
      <c r="G77" s="8">
        <f t="shared" si="13"/>
        <v>16.490959393891789</v>
      </c>
      <c r="H77" s="8">
        <f t="shared" si="13"/>
        <v>24.183921806035006</v>
      </c>
      <c r="I77" s="8">
        <f t="shared" si="13"/>
        <v>6.5146529690004717</v>
      </c>
      <c r="J77" s="8">
        <f t="shared" si="13"/>
        <v>22.639531107244586</v>
      </c>
    </row>
    <row r="78" spans="1:10">
      <c r="A78" s="21"/>
    </row>
    <row r="79" spans="1:10">
      <c r="A79" s="21"/>
      <c r="E79" s="114"/>
    </row>
    <row r="80" spans="1:10">
      <c r="A80" s="21" t="s">
        <v>401</v>
      </c>
    </row>
    <row r="81" spans="1:10">
      <c r="A81" s="21" t="s">
        <v>13</v>
      </c>
      <c r="B81" s="8">
        <v>68.383139999999997</v>
      </c>
      <c r="C81" s="8">
        <v>21.21199</v>
      </c>
      <c r="D81" s="8">
        <v>94.660139999999998</v>
      </c>
      <c r="E81" s="8">
        <v>53.609699999999997</v>
      </c>
      <c r="F81" s="8">
        <v>39.359409999999997</v>
      </c>
      <c r="G81" s="8">
        <v>94.048370000000006</v>
      </c>
      <c r="H81" s="8">
        <v>70.421430000000001</v>
      </c>
      <c r="I81" s="8">
        <v>92.818269999999998</v>
      </c>
      <c r="J81" s="8">
        <v>97.204059999999998</v>
      </c>
    </row>
    <row r="82" spans="1:10">
      <c r="A82" s="21" t="s">
        <v>19</v>
      </c>
      <c r="B82" s="8">
        <v>22.350390000000001</v>
      </c>
      <c r="C82" s="8">
        <v>52.562849999999997</v>
      </c>
      <c r="D82" s="8">
        <v>91.803129999999996</v>
      </c>
      <c r="E82" s="8">
        <v>31.277200000000001</v>
      </c>
      <c r="F82" s="8">
        <v>60.306609999999999</v>
      </c>
      <c r="G82" s="8">
        <v>95.221119999999999</v>
      </c>
      <c r="H82" s="8">
        <v>40.697749999999999</v>
      </c>
      <c r="I82" s="8">
        <v>89.918850000000006</v>
      </c>
      <c r="J82" s="8">
        <v>93.327029999999993</v>
      </c>
    </row>
    <row r="83" spans="1:10">
      <c r="A83" s="21" t="s">
        <v>22</v>
      </c>
      <c r="B83" s="8">
        <v>31.826979999999999</v>
      </c>
      <c r="C83" s="8">
        <v>50.881790000000002</v>
      </c>
      <c r="D83" s="8">
        <v>42.019860000000001</v>
      </c>
      <c r="E83" s="8">
        <v>96.503129999999999</v>
      </c>
      <c r="F83" s="8">
        <v>82.009370000000004</v>
      </c>
      <c r="G83" s="8">
        <v>88.099879999999999</v>
      </c>
      <c r="H83" s="8">
        <v>84.880240000000001</v>
      </c>
      <c r="I83" s="8">
        <v>93.174400000000006</v>
      </c>
      <c r="J83" s="8">
        <v>51.112369999999999</v>
      </c>
    </row>
    <row r="84" spans="1:10">
      <c r="A84" s="21" t="s">
        <v>24</v>
      </c>
      <c r="B84" s="8">
        <v>25.572279999999999</v>
      </c>
      <c r="C84" s="8">
        <v>66.335719999999995</v>
      </c>
      <c r="D84" s="8">
        <v>69.905500000000004</v>
      </c>
      <c r="E84" s="8">
        <v>69.055520000000001</v>
      </c>
      <c r="F84" s="8">
        <v>65.127859999999998</v>
      </c>
      <c r="G84" s="8">
        <v>89.960070000000002</v>
      </c>
      <c r="H84" s="8">
        <v>94.802059999999997</v>
      </c>
      <c r="I84" s="8">
        <v>89.315939999999998</v>
      </c>
      <c r="J84" s="8">
        <v>97.197050000000004</v>
      </c>
    </row>
    <row r="85" spans="1:10">
      <c r="A85" s="21" t="s">
        <v>27</v>
      </c>
      <c r="B85" s="8">
        <v>43.634520000000002</v>
      </c>
      <c r="C85" s="8">
        <v>59.01952</v>
      </c>
      <c r="D85" s="8">
        <v>26.020569999999999</v>
      </c>
      <c r="E85" s="8">
        <v>37.868870000000001</v>
      </c>
      <c r="F85" s="8">
        <v>62.273800000000001</v>
      </c>
      <c r="G85" s="8">
        <v>58.245750000000001</v>
      </c>
      <c r="H85" s="8">
        <v>90.308970000000002</v>
      </c>
      <c r="I85" s="8">
        <v>83.050700000000006</v>
      </c>
      <c r="J85" s="8">
        <v>93.712689999999995</v>
      </c>
    </row>
    <row r="86" spans="1:10">
      <c r="A86" s="21" t="s">
        <v>29</v>
      </c>
      <c r="B86" s="8">
        <v>24.686119999999999</v>
      </c>
      <c r="C86" s="8">
        <v>15.30796</v>
      </c>
      <c r="D86" s="8">
        <v>58.127499999999998</v>
      </c>
      <c r="E86" s="8">
        <v>65.009429999999995</v>
      </c>
      <c r="F86" s="8">
        <v>85.979640000000003</v>
      </c>
      <c r="G86" s="8">
        <v>93.065179999999998</v>
      </c>
      <c r="H86" s="8">
        <v>92.579449999999994</v>
      </c>
      <c r="I86" s="8">
        <v>89.895030000000006</v>
      </c>
      <c r="J86" s="8">
        <v>95.639409999999998</v>
      </c>
    </row>
    <row r="87" spans="1:10">
      <c r="A87" s="21" t="s">
        <v>385</v>
      </c>
      <c r="B87" s="8">
        <f t="shared" ref="B87:J87" si="14">AVERAGE(B81:B86)</f>
        <v>36.075571666666669</v>
      </c>
      <c r="C87" s="8">
        <f t="shared" si="14"/>
        <v>44.219971666666659</v>
      </c>
      <c r="D87" s="8">
        <f t="shared" si="14"/>
        <v>63.756116666666664</v>
      </c>
      <c r="E87" s="8">
        <f t="shared" si="14"/>
        <v>58.88730833333333</v>
      </c>
      <c r="F87" s="8">
        <f t="shared" si="14"/>
        <v>65.842781666666667</v>
      </c>
      <c r="G87" s="8">
        <f t="shared" si="14"/>
        <v>86.440061666666665</v>
      </c>
      <c r="H87" s="8">
        <f t="shared" si="14"/>
        <v>78.948316666666656</v>
      </c>
      <c r="I87" s="8">
        <f t="shared" si="14"/>
        <v>89.695531666666668</v>
      </c>
      <c r="J87" s="8">
        <f t="shared" si="14"/>
        <v>88.032101666666676</v>
      </c>
    </row>
    <row r="88" spans="1:10">
      <c r="A88" s="21" t="s">
        <v>255</v>
      </c>
      <c r="B88" s="8">
        <f t="shared" ref="B88:J88" si="15">STDEV(B81:B86)</f>
        <v>17.591967255281514</v>
      </c>
      <c r="C88" s="8">
        <f t="shared" si="15"/>
        <v>20.915965369029873</v>
      </c>
      <c r="D88" s="8">
        <f t="shared" si="15"/>
        <v>27.230961026667167</v>
      </c>
      <c r="E88" s="8">
        <f t="shared" si="15"/>
        <v>23.612576834088564</v>
      </c>
      <c r="F88" s="8">
        <f t="shared" si="15"/>
        <v>16.805466709141299</v>
      </c>
      <c r="G88" s="8">
        <f t="shared" si="15"/>
        <v>14.063784696892116</v>
      </c>
      <c r="H88" s="8">
        <f t="shared" si="15"/>
        <v>20.674693607259751</v>
      </c>
      <c r="I88" s="8">
        <f t="shared" si="15"/>
        <v>3.6398232911470658</v>
      </c>
      <c r="J88" s="8">
        <f t="shared" si="15"/>
        <v>18.162401679877373</v>
      </c>
    </row>
    <row r="89" spans="1:10">
      <c r="A89" s="21"/>
    </row>
    <row r="90" spans="1:10">
      <c r="A90" s="21"/>
      <c r="E90" s="114"/>
    </row>
    <row r="91" spans="1:10">
      <c r="A91" s="21" t="s">
        <v>402</v>
      </c>
    </row>
    <row r="92" spans="1:10">
      <c r="A92" s="21" t="s">
        <v>13</v>
      </c>
      <c r="B92" s="8">
        <v>65.63194</v>
      </c>
      <c r="C92" s="8">
        <v>29.050850000000001</v>
      </c>
      <c r="D92" s="8">
        <v>93.638210000000001</v>
      </c>
      <c r="E92" s="8">
        <v>64.347049999999996</v>
      </c>
      <c r="F92" s="8">
        <v>52.02467</v>
      </c>
      <c r="G92" s="8">
        <v>92.204679999999996</v>
      </c>
      <c r="H92" s="8">
        <v>82.354249999999993</v>
      </c>
      <c r="I92" s="8">
        <v>90.517790000000005</v>
      </c>
      <c r="J92" s="8">
        <v>96.334490000000002</v>
      </c>
    </row>
    <row r="93" spans="1:10">
      <c r="A93" s="21" t="s">
        <v>19</v>
      </c>
      <c r="B93" s="8">
        <v>32.795050000000003</v>
      </c>
      <c r="C93" s="8">
        <v>53.629069999999999</v>
      </c>
      <c r="D93" s="8">
        <v>91.686970000000002</v>
      </c>
      <c r="E93" s="8">
        <v>39.95731</v>
      </c>
      <c r="F93" s="8">
        <v>64.134770000000003</v>
      </c>
      <c r="G93" s="8">
        <v>94.152770000000004</v>
      </c>
      <c r="H93" s="8">
        <v>50.625109999999999</v>
      </c>
      <c r="I93" s="8">
        <v>87.88176</v>
      </c>
      <c r="J93" s="8">
        <v>88.517899999999997</v>
      </c>
    </row>
    <row r="94" spans="1:10">
      <c r="A94" s="21" t="s">
        <v>22</v>
      </c>
      <c r="B94" s="8">
        <v>40.636539999999997</v>
      </c>
      <c r="C94" s="8">
        <v>54.095849999999999</v>
      </c>
      <c r="D94" s="8">
        <v>48.775460000000002</v>
      </c>
      <c r="E94" s="8">
        <v>96.44462</v>
      </c>
      <c r="F94" s="8">
        <v>81.781620000000004</v>
      </c>
      <c r="G94" s="8">
        <v>87.355099999999993</v>
      </c>
      <c r="H94" s="8">
        <v>84.760639999999995</v>
      </c>
      <c r="I94" s="8">
        <v>92.461539999999999</v>
      </c>
      <c r="J94" s="8">
        <v>60.411960000000001</v>
      </c>
    </row>
    <row r="95" spans="1:10">
      <c r="A95" s="21" t="s">
        <v>24</v>
      </c>
      <c r="B95" s="8">
        <v>33.026820000000001</v>
      </c>
      <c r="C95" s="8">
        <v>46.327640000000002</v>
      </c>
      <c r="D95" s="8">
        <v>70.743549999999999</v>
      </c>
      <c r="E95" s="8">
        <v>76.726770000000002</v>
      </c>
      <c r="F95" s="8">
        <v>91.177030000000002</v>
      </c>
      <c r="G95" s="8">
        <v>92.827089999999998</v>
      </c>
      <c r="H95" s="8">
        <v>94.705060000000003</v>
      </c>
      <c r="I95" s="8">
        <v>89.042090000000002</v>
      </c>
      <c r="J95" s="8">
        <v>96.076049999999995</v>
      </c>
    </row>
    <row r="96" spans="1:10">
      <c r="A96" s="21" t="s">
        <v>27</v>
      </c>
      <c r="B96" s="8">
        <v>47.697069999999997</v>
      </c>
      <c r="C96" s="8">
        <v>62.359349999999999</v>
      </c>
      <c r="D96" s="8">
        <v>34.098350000000003</v>
      </c>
      <c r="E96" s="8">
        <v>43.759799999999998</v>
      </c>
      <c r="F96" s="8">
        <v>67.78049</v>
      </c>
      <c r="G96" s="8">
        <v>64.271190000000004</v>
      </c>
      <c r="H96" s="8">
        <v>86.831680000000006</v>
      </c>
      <c r="I96" s="8">
        <v>86.466520000000003</v>
      </c>
      <c r="J96" s="8">
        <v>92.941929999999999</v>
      </c>
    </row>
    <row r="97" spans="1:10">
      <c r="A97" s="21" t="s">
        <v>29</v>
      </c>
      <c r="B97" s="8">
        <v>31.795020000000001</v>
      </c>
      <c r="C97" s="8">
        <v>17.938179999999999</v>
      </c>
      <c r="D97" s="8">
        <v>89.935100000000006</v>
      </c>
      <c r="E97" s="8">
        <v>88.417630000000003</v>
      </c>
      <c r="F97" s="8">
        <v>90.374679999999998</v>
      </c>
      <c r="G97" s="8">
        <v>91.48451</v>
      </c>
      <c r="H97" s="8">
        <v>90.44435</v>
      </c>
      <c r="I97" s="8">
        <v>91.589420000000004</v>
      </c>
      <c r="J97" s="8">
        <v>95.346360000000004</v>
      </c>
    </row>
    <row r="98" spans="1:10">
      <c r="A98" s="21" t="s">
        <v>385</v>
      </c>
      <c r="B98" s="8">
        <f t="shared" ref="B98:J98" si="16">AVERAGE(B92:B97)</f>
        <v>41.930406666666663</v>
      </c>
      <c r="C98" s="8">
        <f t="shared" si="16"/>
        <v>43.900156666666668</v>
      </c>
      <c r="D98" s="8">
        <f t="shared" si="16"/>
        <v>71.479606666666669</v>
      </c>
      <c r="E98" s="8">
        <f t="shared" si="16"/>
        <v>68.275530000000003</v>
      </c>
      <c r="F98" s="8">
        <f t="shared" si="16"/>
        <v>74.545543333333327</v>
      </c>
      <c r="G98" s="8">
        <f t="shared" si="16"/>
        <v>87.049223333333316</v>
      </c>
      <c r="H98" s="8">
        <f t="shared" si="16"/>
        <v>81.620181666666667</v>
      </c>
      <c r="I98" s="8">
        <f t="shared" si="16"/>
        <v>89.659853333333331</v>
      </c>
      <c r="J98" s="8">
        <f t="shared" si="16"/>
        <v>88.271448333333339</v>
      </c>
    </row>
    <row r="99" spans="1:10">
      <c r="A99" s="21" t="s">
        <v>255</v>
      </c>
      <c r="B99" s="8">
        <f t="shared" ref="B99:J99" si="17">STDEV(B92:B97)</f>
        <v>13.131228725013766</v>
      </c>
      <c r="C99" s="8">
        <f t="shared" si="17"/>
        <v>16.969175300922171</v>
      </c>
      <c r="D99" s="8">
        <f t="shared" si="17"/>
        <v>25.113043917467778</v>
      </c>
      <c r="E99" s="8">
        <f t="shared" si="17"/>
        <v>23.190518915657741</v>
      </c>
      <c r="F99" s="8">
        <f t="shared" si="17"/>
        <v>15.753530433387512</v>
      </c>
      <c r="G99" s="8">
        <f t="shared" si="17"/>
        <v>11.393217129418245</v>
      </c>
      <c r="H99" s="8">
        <f t="shared" si="17"/>
        <v>15.794527565803801</v>
      </c>
      <c r="I99" s="8">
        <f t="shared" si="17"/>
        <v>2.2825142382527797</v>
      </c>
      <c r="J99" s="8">
        <f t="shared" si="17"/>
        <v>13.95710608115226</v>
      </c>
    </row>
    <row r="100" spans="1:10">
      <c r="A100" s="21"/>
    </row>
    <row r="101" spans="1:10">
      <c r="A101" s="21"/>
      <c r="E101" s="114"/>
    </row>
    <row r="102" spans="1:10">
      <c r="A102" s="21" t="s">
        <v>403</v>
      </c>
    </row>
    <row r="103" spans="1:10">
      <c r="A103" s="21" t="s">
        <v>13</v>
      </c>
      <c r="B103" s="8">
        <v>66.074340000000007</v>
      </c>
      <c r="C103" s="8">
        <v>31.421320000000001</v>
      </c>
      <c r="D103" s="8">
        <v>93.379559999999998</v>
      </c>
      <c r="E103" s="8">
        <v>76.059139999999999</v>
      </c>
      <c r="F103" s="8">
        <v>55.886899999999997</v>
      </c>
      <c r="G103" s="8">
        <v>92.672409999999999</v>
      </c>
      <c r="H103" s="8">
        <v>90.067700000000002</v>
      </c>
      <c r="I103" s="8">
        <v>90.616060000000004</v>
      </c>
      <c r="J103" s="8">
        <v>96.429689999999994</v>
      </c>
    </row>
    <row r="104" spans="1:10">
      <c r="A104" s="21" t="s">
        <v>19</v>
      </c>
      <c r="B104" s="8">
        <v>55.085560000000001</v>
      </c>
      <c r="C104" s="8">
        <v>56.99803</v>
      </c>
      <c r="D104" s="8">
        <v>91.954059999999998</v>
      </c>
      <c r="E104" s="8">
        <v>46.539969999999997</v>
      </c>
      <c r="F104" s="8">
        <v>73.510819999999995</v>
      </c>
      <c r="G104" s="8">
        <v>93.996350000000007</v>
      </c>
      <c r="H104" s="8">
        <v>59.932960000000001</v>
      </c>
      <c r="I104" s="8">
        <v>86.983750000000001</v>
      </c>
      <c r="J104" s="8">
        <v>92.910690000000002</v>
      </c>
    </row>
    <row r="105" spans="1:10">
      <c r="A105" s="21" t="s">
        <v>22</v>
      </c>
      <c r="B105" s="8">
        <v>54.747540000000001</v>
      </c>
      <c r="C105" s="8">
        <v>54.72974</v>
      </c>
      <c r="D105" s="8">
        <v>56.996670000000002</v>
      </c>
      <c r="E105" s="8">
        <v>96.226259999999996</v>
      </c>
      <c r="F105" s="8">
        <v>81.256209999999996</v>
      </c>
      <c r="G105" s="8">
        <v>87.504930000000002</v>
      </c>
      <c r="H105" s="8">
        <v>84.416679999999999</v>
      </c>
      <c r="I105" s="8">
        <v>91.677880000000002</v>
      </c>
      <c r="J105" s="8">
        <v>71.448210000000003</v>
      </c>
    </row>
    <row r="106" spans="1:10">
      <c r="A106" s="21" t="s">
        <v>24</v>
      </c>
      <c r="B106" s="8">
        <v>47.645490000000002</v>
      </c>
      <c r="C106" s="8">
        <v>46.026159999999997</v>
      </c>
      <c r="D106" s="8">
        <v>70.327529999999996</v>
      </c>
      <c r="E106" s="8">
        <v>89.223100000000002</v>
      </c>
      <c r="F106" s="8">
        <v>93.087289999999996</v>
      </c>
      <c r="G106" s="8">
        <v>91.259739999999994</v>
      </c>
      <c r="H106" s="8">
        <v>94.150790000000001</v>
      </c>
      <c r="I106" s="8">
        <v>86.643230000000003</v>
      </c>
      <c r="J106" s="8">
        <v>96.109729999999999</v>
      </c>
    </row>
    <row r="107" spans="1:10">
      <c r="A107" s="21" t="s">
        <v>27</v>
      </c>
      <c r="B107" s="8">
        <v>53.691020000000002</v>
      </c>
      <c r="C107" s="8">
        <v>62.193669999999997</v>
      </c>
      <c r="D107" s="8">
        <v>45.922289999999997</v>
      </c>
      <c r="E107" s="8">
        <v>45.074010000000001</v>
      </c>
      <c r="F107" s="8">
        <v>77.028689999999997</v>
      </c>
      <c r="G107" s="8">
        <v>73.437479999999994</v>
      </c>
      <c r="H107" s="8">
        <v>90.438289999999995</v>
      </c>
      <c r="I107" s="8">
        <v>89.295640000000006</v>
      </c>
      <c r="J107" s="8">
        <v>92.956180000000003</v>
      </c>
    </row>
    <row r="108" spans="1:10">
      <c r="A108" s="21" t="s">
        <v>29</v>
      </c>
      <c r="B108" s="8">
        <v>35.383209999999998</v>
      </c>
      <c r="C108" s="8">
        <v>21.341270000000002</v>
      </c>
      <c r="D108" s="8">
        <v>92.976590000000002</v>
      </c>
      <c r="E108" s="8">
        <v>92.632800000000003</v>
      </c>
      <c r="F108" s="8">
        <v>92.874409999999997</v>
      </c>
      <c r="G108" s="8">
        <v>91.688810000000004</v>
      </c>
      <c r="H108" s="8">
        <v>92.718220000000002</v>
      </c>
      <c r="I108" s="8">
        <v>91.333119999999994</v>
      </c>
      <c r="J108" s="8">
        <v>95.127719999999997</v>
      </c>
    </row>
    <row r="109" spans="1:10">
      <c r="A109" s="21" t="s">
        <v>385</v>
      </c>
      <c r="B109" s="8">
        <f t="shared" ref="B109:J109" si="18">AVERAGE(B103:B108)</f>
        <v>52.104526666666665</v>
      </c>
      <c r="C109" s="8">
        <f t="shared" si="18"/>
        <v>45.451698333333333</v>
      </c>
      <c r="D109" s="8">
        <f t="shared" si="18"/>
        <v>75.259450000000001</v>
      </c>
      <c r="E109" s="8">
        <f t="shared" si="18"/>
        <v>74.292546666666667</v>
      </c>
      <c r="F109" s="8">
        <f t="shared" si="18"/>
        <v>78.940719999999999</v>
      </c>
      <c r="G109" s="8">
        <f t="shared" si="18"/>
        <v>88.426620000000014</v>
      </c>
      <c r="H109" s="8">
        <f t="shared" si="18"/>
        <v>85.287440000000004</v>
      </c>
      <c r="I109" s="8">
        <f t="shared" si="18"/>
        <v>89.424946666666656</v>
      </c>
      <c r="J109" s="8">
        <f t="shared" si="18"/>
        <v>90.830370000000002</v>
      </c>
    </row>
    <row r="110" spans="1:10">
      <c r="A110" s="21" t="s">
        <v>255</v>
      </c>
      <c r="B110" s="8">
        <f t="shared" ref="B110:J110" si="19">STDEV(B103:B108)</f>
        <v>10.129463598247773</v>
      </c>
      <c r="C110" s="8">
        <f t="shared" si="19"/>
        <v>15.988669264277631</v>
      </c>
      <c r="D110" s="8">
        <f t="shared" si="19"/>
        <v>20.685586113640607</v>
      </c>
      <c r="E110" s="8">
        <f t="shared" si="19"/>
        <v>23.097287045647352</v>
      </c>
      <c r="F110" s="8">
        <f t="shared" si="19"/>
        <v>13.88706551467514</v>
      </c>
      <c r="G110" s="8">
        <f t="shared" si="19"/>
        <v>7.6582100770767614</v>
      </c>
      <c r="H110" s="8">
        <f t="shared" si="19"/>
        <v>12.858969516014836</v>
      </c>
      <c r="I110" s="8">
        <f t="shared" si="19"/>
        <v>2.1840189578084397</v>
      </c>
      <c r="J110" s="8">
        <f t="shared" si="19"/>
        <v>9.6146364384577723</v>
      </c>
    </row>
    <row r="111" spans="1:10">
      <c r="A111" s="21"/>
    </row>
    <row r="112" spans="1:10">
      <c r="A112" s="21"/>
      <c r="E112" s="114"/>
    </row>
    <row r="113" spans="1:10">
      <c r="A113" s="21" t="s">
        <v>404</v>
      </c>
    </row>
    <row r="114" spans="1:10">
      <c r="A114" s="21" t="s">
        <v>13</v>
      </c>
      <c r="B114" s="8">
        <v>65.117500000000007</v>
      </c>
      <c r="C114" s="8">
        <v>44.663809999999998</v>
      </c>
      <c r="D114" s="8">
        <v>92.731650000000002</v>
      </c>
      <c r="E114" s="8">
        <v>82.451319999999996</v>
      </c>
      <c r="F114" s="8">
        <v>66.930189999999996</v>
      </c>
      <c r="G114" s="8">
        <v>91.671009999999995</v>
      </c>
      <c r="H114" s="8">
        <v>92.407929999999993</v>
      </c>
      <c r="I114" s="8">
        <v>90.002780000000001</v>
      </c>
      <c r="J114" s="8">
        <v>96.920559999999995</v>
      </c>
    </row>
    <row r="115" spans="1:10">
      <c r="A115" s="21" t="s">
        <v>19</v>
      </c>
      <c r="B115" s="8">
        <v>57.989139999999999</v>
      </c>
      <c r="C115" s="8">
        <v>55.787109999999998</v>
      </c>
      <c r="D115" s="8">
        <v>91.275090000000006</v>
      </c>
      <c r="E115" s="8">
        <v>48.586880000000001</v>
      </c>
      <c r="F115" s="8">
        <v>84.40607</v>
      </c>
      <c r="G115" s="8">
        <v>93.976820000000004</v>
      </c>
      <c r="H115" s="8">
        <v>78.455709999999996</v>
      </c>
      <c r="I115" s="8">
        <v>89.092969999999994</v>
      </c>
      <c r="J115" s="8">
        <v>90.723820000000003</v>
      </c>
    </row>
    <row r="116" spans="1:10">
      <c r="A116" s="21" t="s">
        <v>22</v>
      </c>
      <c r="B116" s="8">
        <v>58.292810000000003</v>
      </c>
      <c r="C116" s="8">
        <v>53.654269999999997</v>
      </c>
      <c r="D116" s="8">
        <v>74.360929999999996</v>
      </c>
      <c r="E116" s="8">
        <v>96.252340000000004</v>
      </c>
      <c r="F116" s="8">
        <v>81.032749999999993</v>
      </c>
      <c r="G116" s="8">
        <v>87.301419999999993</v>
      </c>
      <c r="H116" s="8">
        <v>84.745099999999994</v>
      </c>
      <c r="I116" s="8">
        <v>91.735129999999998</v>
      </c>
      <c r="J116" s="8">
        <v>85.945149999999998</v>
      </c>
    </row>
    <row r="117" spans="1:10">
      <c r="A117" s="21" t="s">
        <v>24</v>
      </c>
      <c r="B117" s="8">
        <v>62.637520000000002</v>
      </c>
      <c r="C117" s="8">
        <v>52.433869999999999</v>
      </c>
      <c r="D117" s="8">
        <v>69.93665</v>
      </c>
      <c r="E117" s="8">
        <v>92.936999999999998</v>
      </c>
      <c r="F117" s="8">
        <v>92.535589999999999</v>
      </c>
      <c r="G117" s="8">
        <v>87.431820000000002</v>
      </c>
      <c r="H117" s="8">
        <v>94.38364</v>
      </c>
      <c r="I117" s="8">
        <v>88.601070000000007</v>
      </c>
      <c r="J117" s="8">
        <v>95.652600000000007</v>
      </c>
    </row>
    <row r="118" spans="1:10">
      <c r="A118" s="21" t="s">
        <v>27</v>
      </c>
      <c r="B118" s="8">
        <v>67.088340000000002</v>
      </c>
      <c r="C118" s="8">
        <v>61.068379999999998</v>
      </c>
      <c r="D118" s="8">
        <v>69.112589999999997</v>
      </c>
      <c r="E118" s="8">
        <v>47.711779999999997</v>
      </c>
      <c r="F118" s="8">
        <v>79.370829999999998</v>
      </c>
      <c r="G118" s="8">
        <v>82.744749999999996</v>
      </c>
      <c r="H118" s="8">
        <v>87.891270000000006</v>
      </c>
      <c r="I118" s="8">
        <v>90.954359999999994</v>
      </c>
      <c r="J118" s="8">
        <v>92.119969999999995</v>
      </c>
    </row>
    <row r="119" spans="1:10">
      <c r="A119" s="21" t="s">
        <v>29</v>
      </c>
      <c r="B119" s="8">
        <v>37.314210000000003</v>
      </c>
      <c r="C119" s="8">
        <v>33.026589999999999</v>
      </c>
      <c r="D119" s="8">
        <v>84.421610000000001</v>
      </c>
      <c r="E119" s="8">
        <v>92.465100000000007</v>
      </c>
      <c r="F119" s="8">
        <v>93.342479999999995</v>
      </c>
      <c r="G119" s="8">
        <v>91.149460000000005</v>
      </c>
      <c r="H119" s="8">
        <v>90.523359999999997</v>
      </c>
      <c r="I119" s="8">
        <v>92.305160000000001</v>
      </c>
      <c r="J119" s="8">
        <v>94.968559999999997</v>
      </c>
    </row>
    <row r="120" spans="1:10">
      <c r="A120" s="21" t="s">
        <v>385</v>
      </c>
      <c r="B120" s="8">
        <f t="shared" ref="B120:J120" si="20">AVERAGE(B114:B119)</f>
        <v>58.073253333333334</v>
      </c>
      <c r="C120" s="8">
        <f t="shared" si="20"/>
        <v>50.105671666666666</v>
      </c>
      <c r="D120" s="8">
        <f t="shared" si="20"/>
        <v>80.306419999999989</v>
      </c>
      <c r="E120" s="8">
        <f t="shared" si="20"/>
        <v>76.734069999999988</v>
      </c>
      <c r="F120" s="8">
        <f t="shared" si="20"/>
        <v>82.936318333333318</v>
      </c>
      <c r="G120" s="8">
        <f t="shared" si="20"/>
        <v>89.045880000000011</v>
      </c>
      <c r="H120" s="8">
        <f t="shared" si="20"/>
        <v>88.067835000000002</v>
      </c>
      <c r="I120" s="8">
        <f t="shared" si="20"/>
        <v>90.44857833333333</v>
      </c>
      <c r="J120" s="8">
        <f t="shared" si="20"/>
        <v>92.721776666666685</v>
      </c>
    </row>
    <row r="121" spans="1:10">
      <c r="A121" s="21" t="s">
        <v>255</v>
      </c>
      <c r="B121" s="8">
        <f t="shared" ref="B121:J121" si="21">STDEV(B114:B119)</f>
        <v>10.795544351358386</v>
      </c>
      <c r="C121" s="8">
        <f t="shared" si="21"/>
        <v>9.9174761116292061</v>
      </c>
      <c r="D121" s="8">
        <f t="shared" si="21"/>
        <v>10.581263271649627</v>
      </c>
      <c r="E121" s="8">
        <f t="shared" si="21"/>
        <v>22.619494594448405</v>
      </c>
      <c r="F121" s="8">
        <f t="shared" si="21"/>
        <v>9.7480953093709157</v>
      </c>
      <c r="G121" s="8">
        <f t="shared" si="21"/>
        <v>4.0245023361653081</v>
      </c>
      <c r="H121" s="8">
        <f t="shared" si="21"/>
        <v>5.8003467228735568</v>
      </c>
      <c r="I121" s="8">
        <f t="shared" si="21"/>
        <v>1.4702124281533817</v>
      </c>
      <c r="J121" s="8">
        <f t="shared" si="21"/>
        <v>4.0384208132321557</v>
      </c>
    </row>
    <row r="122" spans="1:10">
      <c r="A122" s="21"/>
    </row>
    <row r="123" spans="1:10">
      <c r="A123" s="21"/>
      <c r="E123" s="114"/>
    </row>
    <row r="124" spans="1:10">
      <c r="A124" s="21" t="s">
        <v>405</v>
      </c>
    </row>
    <row r="125" spans="1:10">
      <c r="A125" s="21" t="s">
        <v>13</v>
      </c>
      <c r="B125" s="8">
        <v>64.082530000000006</v>
      </c>
      <c r="C125" s="8">
        <v>57.279449999999997</v>
      </c>
      <c r="D125" s="8">
        <v>92.759270000000001</v>
      </c>
      <c r="E125" s="8">
        <v>80.695080000000004</v>
      </c>
      <c r="F125" s="8">
        <v>81.453659999999999</v>
      </c>
      <c r="G125" s="8">
        <v>92.421199999999999</v>
      </c>
      <c r="H125" s="8">
        <v>91.410219999999995</v>
      </c>
      <c r="I125" s="8">
        <v>89.994609999999994</v>
      </c>
      <c r="J125" s="8">
        <v>96.506410000000002</v>
      </c>
    </row>
    <row r="126" spans="1:10">
      <c r="A126" s="21" t="s">
        <v>19</v>
      </c>
      <c r="B126" s="8">
        <v>56.661960000000001</v>
      </c>
      <c r="C126" s="8">
        <v>55.197420000000001</v>
      </c>
      <c r="D126" s="8">
        <v>91.669920000000005</v>
      </c>
      <c r="E126" s="8">
        <v>57.380330000000001</v>
      </c>
      <c r="F126" s="8">
        <v>85.634510000000006</v>
      </c>
      <c r="G126" s="8">
        <v>93.501109999999997</v>
      </c>
      <c r="H126" s="8">
        <v>90.049440000000004</v>
      </c>
      <c r="I126" s="8">
        <v>91.625309999999999</v>
      </c>
      <c r="J126" s="8">
        <v>92.363749999999996</v>
      </c>
    </row>
    <row r="127" spans="1:10">
      <c r="A127" s="21" t="s">
        <v>22</v>
      </c>
      <c r="B127" s="8">
        <v>39.522660000000002</v>
      </c>
      <c r="C127" s="8">
        <v>55.603169999999999</v>
      </c>
      <c r="D127" s="8">
        <v>79.102609999999999</v>
      </c>
      <c r="E127" s="8">
        <v>95.918639999999996</v>
      </c>
      <c r="F127" s="8">
        <v>81.064869999999999</v>
      </c>
      <c r="G127" s="8">
        <v>86.968819999999994</v>
      </c>
      <c r="H127" s="8">
        <v>84.352890000000002</v>
      </c>
      <c r="I127" s="8">
        <v>91.922070000000005</v>
      </c>
      <c r="J127" s="8">
        <v>88.204030000000003</v>
      </c>
    </row>
    <row r="128" spans="1:10">
      <c r="A128" s="21" t="s">
        <v>24</v>
      </c>
      <c r="B128" s="8">
        <v>67.136579999999995</v>
      </c>
      <c r="C128" s="8">
        <v>51.6721</v>
      </c>
      <c r="D128" s="8">
        <v>68.962310000000002</v>
      </c>
      <c r="E128" s="8">
        <v>92.662930000000003</v>
      </c>
      <c r="F128" s="8">
        <v>92.836709999999997</v>
      </c>
      <c r="G128" s="8">
        <v>87.773349999999994</v>
      </c>
      <c r="H128" s="8">
        <v>94.935159999999996</v>
      </c>
      <c r="I128" s="8">
        <v>89.441569999999999</v>
      </c>
      <c r="J128" s="8">
        <v>96.15549</v>
      </c>
    </row>
    <row r="129" spans="1:10">
      <c r="A129" s="21" t="s">
        <v>27</v>
      </c>
      <c r="B129" s="8">
        <v>78.346800000000002</v>
      </c>
      <c r="C129" s="8">
        <v>60.707349999999998</v>
      </c>
      <c r="D129" s="8">
        <v>94.262879999999996</v>
      </c>
      <c r="E129" s="8">
        <v>49.494169999999997</v>
      </c>
      <c r="F129" s="8">
        <v>79.234039999999993</v>
      </c>
      <c r="G129" s="8">
        <v>82.706729999999993</v>
      </c>
      <c r="H129" s="8">
        <v>90.015910000000005</v>
      </c>
      <c r="I129" s="8">
        <v>87.58193</v>
      </c>
      <c r="J129" s="8">
        <v>92.391769999999994</v>
      </c>
    </row>
    <row r="130" spans="1:10">
      <c r="A130" s="21" t="s">
        <v>29</v>
      </c>
      <c r="B130" s="8">
        <v>43.574260000000002</v>
      </c>
      <c r="C130" s="8">
        <v>34.016620000000003</v>
      </c>
      <c r="D130" s="8">
        <v>91.926789999999997</v>
      </c>
      <c r="E130" s="8">
        <v>92.856920000000002</v>
      </c>
      <c r="F130" s="8">
        <v>94.102599999999995</v>
      </c>
      <c r="G130" s="8">
        <v>90.807320000000004</v>
      </c>
      <c r="H130" s="8">
        <v>89.40795</v>
      </c>
      <c r="I130" s="8">
        <v>91.793549999999996</v>
      </c>
      <c r="J130" s="8">
        <v>94.865560000000002</v>
      </c>
    </row>
    <row r="131" spans="1:10">
      <c r="A131" s="21" t="s">
        <v>385</v>
      </c>
      <c r="B131" s="8">
        <f t="shared" ref="B131:J131" si="22">AVERAGE(B125:B130)</f>
        <v>58.220798333333335</v>
      </c>
      <c r="C131" s="8">
        <f t="shared" si="22"/>
        <v>52.412685000000003</v>
      </c>
      <c r="D131" s="8">
        <f t="shared" si="22"/>
        <v>86.447296666666659</v>
      </c>
      <c r="E131" s="8">
        <f t="shared" si="22"/>
        <v>78.168011666666672</v>
      </c>
      <c r="F131" s="8">
        <f t="shared" si="22"/>
        <v>85.721064999999996</v>
      </c>
      <c r="G131" s="8">
        <f t="shared" si="22"/>
        <v>89.02975499999998</v>
      </c>
      <c r="H131" s="8">
        <f t="shared" si="22"/>
        <v>90.028594999999996</v>
      </c>
      <c r="I131" s="8">
        <f t="shared" si="22"/>
        <v>90.393173333333337</v>
      </c>
      <c r="J131" s="8">
        <f t="shared" si="22"/>
        <v>93.414501666666652</v>
      </c>
    </row>
    <row r="132" spans="1:10">
      <c r="A132" s="21" t="s">
        <v>255</v>
      </c>
      <c r="B132" s="8">
        <f t="shared" ref="B132:J132" si="23">STDEV(B125:B130)</f>
        <v>14.734167388611294</v>
      </c>
      <c r="C132" s="8">
        <f t="shared" si="23"/>
        <v>9.4803426753398536</v>
      </c>
      <c r="D132" s="8">
        <f t="shared" si="23"/>
        <v>10.177368744797802</v>
      </c>
      <c r="E132" s="8">
        <f t="shared" si="23"/>
        <v>20.008270645432006</v>
      </c>
      <c r="F132" s="8">
        <f t="shared" si="23"/>
        <v>6.3696532896689124</v>
      </c>
      <c r="G132" s="8">
        <f t="shared" si="23"/>
        <v>4.0115160177207345</v>
      </c>
      <c r="H132" s="8">
        <f t="shared" si="23"/>
        <v>3.4229429041732473</v>
      </c>
      <c r="I132" s="8">
        <f t="shared" si="23"/>
        <v>1.7195482723746571</v>
      </c>
      <c r="J132" s="8">
        <f t="shared" si="23"/>
        <v>3.1137616667973593</v>
      </c>
    </row>
    <row r="133" spans="1:10">
      <c r="A133" s="21"/>
    </row>
    <row r="134" spans="1:10">
      <c r="A134" s="21"/>
      <c r="E134" s="114"/>
    </row>
    <row r="135" spans="1:10">
      <c r="A135" s="21" t="s">
        <v>406</v>
      </c>
    </row>
    <row r="136" spans="1:10">
      <c r="A136" s="21" t="s">
        <v>13</v>
      </c>
      <c r="B136" s="8">
        <v>64.798599999999993</v>
      </c>
      <c r="C136" s="8">
        <v>60.942959999999999</v>
      </c>
      <c r="D136" s="8">
        <v>91.359539999999996</v>
      </c>
      <c r="E136" s="8">
        <v>77.127020000000002</v>
      </c>
      <c r="F136" s="8">
        <v>86.912760000000006</v>
      </c>
      <c r="G136" s="8">
        <v>91.650469999999999</v>
      </c>
      <c r="H136" s="8">
        <v>92.258610000000004</v>
      </c>
      <c r="I136" s="8">
        <v>88.871219999999994</v>
      </c>
      <c r="J136" s="8">
        <v>96.657880000000006</v>
      </c>
    </row>
    <row r="137" spans="1:10">
      <c r="A137" s="21" t="s">
        <v>19</v>
      </c>
      <c r="B137" s="8">
        <v>58.180010000000003</v>
      </c>
      <c r="C137" s="8">
        <v>53.946129999999997</v>
      </c>
      <c r="D137" s="8">
        <v>89.819760000000002</v>
      </c>
      <c r="E137" s="8">
        <v>74.474670000000003</v>
      </c>
      <c r="F137" s="8">
        <v>83.586939999999998</v>
      </c>
      <c r="G137" s="8">
        <v>92.9559</v>
      </c>
      <c r="H137" s="8">
        <v>91.359080000000006</v>
      </c>
      <c r="I137" s="8">
        <v>91.941749999999999</v>
      </c>
      <c r="J137" s="8">
        <v>91.240380000000002</v>
      </c>
    </row>
    <row r="138" spans="1:10">
      <c r="A138" s="21" t="s">
        <v>22</v>
      </c>
      <c r="B138" s="8">
        <v>42.946800000000003</v>
      </c>
      <c r="C138" s="8">
        <v>55.983539999999998</v>
      </c>
      <c r="D138" s="8">
        <v>76.812899999999999</v>
      </c>
      <c r="E138" s="8">
        <v>95.238519999999994</v>
      </c>
      <c r="F138" s="8">
        <v>79.591340000000002</v>
      </c>
      <c r="G138" s="8">
        <v>86.910749999999993</v>
      </c>
      <c r="H138" s="8">
        <v>83.332210000000003</v>
      </c>
      <c r="I138" s="8">
        <v>91.701459999999997</v>
      </c>
      <c r="J138" s="8">
        <v>85.136510000000001</v>
      </c>
    </row>
    <row r="139" spans="1:10">
      <c r="A139" s="21" t="s">
        <v>24</v>
      </c>
      <c r="B139" s="8">
        <v>63.984780000000001</v>
      </c>
      <c r="C139" s="8">
        <v>50.694420000000001</v>
      </c>
      <c r="D139" s="8">
        <v>69.285380000000004</v>
      </c>
      <c r="E139" s="8">
        <v>92.002250000000004</v>
      </c>
      <c r="F139" s="8">
        <v>92.821979999999996</v>
      </c>
      <c r="G139" s="8">
        <v>88.366069999999993</v>
      </c>
      <c r="H139" s="8">
        <v>95.213840000000005</v>
      </c>
      <c r="I139" s="8">
        <v>88.010249999999999</v>
      </c>
      <c r="J139" s="8">
        <v>95.210369999999998</v>
      </c>
    </row>
    <row r="140" spans="1:10">
      <c r="A140" s="21" t="s">
        <v>27</v>
      </c>
      <c r="B140" s="8">
        <v>78.645799999999994</v>
      </c>
      <c r="C140" s="8">
        <v>62.074199999999998</v>
      </c>
      <c r="D140" s="8">
        <v>94.965559999999996</v>
      </c>
      <c r="E140" s="8">
        <v>51.368740000000003</v>
      </c>
      <c r="F140" s="8">
        <v>77.606589999999997</v>
      </c>
      <c r="G140" s="8">
        <v>81.002110000000002</v>
      </c>
      <c r="H140" s="8">
        <v>90.602260000000001</v>
      </c>
      <c r="I140" s="8">
        <v>91.109049999999996</v>
      </c>
      <c r="J140" s="8">
        <v>91.43974</v>
      </c>
    </row>
    <row r="141" spans="1:10">
      <c r="A141" s="21" t="s">
        <v>29</v>
      </c>
      <c r="B141" s="8">
        <v>45.001109999999997</v>
      </c>
      <c r="C141" s="8">
        <v>36.430230000000002</v>
      </c>
      <c r="D141" s="8">
        <v>85.656689999999998</v>
      </c>
      <c r="E141" s="8">
        <v>92.833789999999993</v>
      </c>
      <c r="F141" s="8">
        <v>93.986819999999994</v>
      </c>
      <c r="G141" s="8">
        <v>91.108909999999995</v>
      </c>
      <c r="H141" s="8">
        <v>90.275710000000004</v>
      </c>
      <c r="I141" s="8">
        <v>91.850539999999995</v>
      </c>
      <c r="J141" s="8">
        <v>94.242949999999993</v>
      </c>
    </row>
    <row r="142" spans="1:10">
      <c r="A142" s="21" t="s">
        <v>385</v>
      </c>
      <c r="B142" s="8">
        <f t="shared" ref="B142:J142" si="24">AVERAGE(B136:B141)</f>
        <v>58.926183333333334</v>
      </c>
      <c r="C142" s="8">
        <f t="shared" si="24"/>
        <v>53.345246666666668</v>
      </c>
      <c r="D142" s="8">
        <f t="shared" si="24"/>
        <v>84.649971666666673</v>
      </c>
      <c r="E142" s="8">
        <f t="shared" si="24"/>
        <v>80.507498333333331</v>
      </c>
      <c r="F142" s="8">
        <f t="shared" si="24"/>
        <v>85.751071666666675</v>
      </c>
      <c r="G142" s="8">
        <f t="shared" si="24"/>
        <v>88.665701666666664</v>
      </c>
      <c r="H142" s="8">
        <f t="shared" si="24"/>
        <v>90.506951666666666</v>
      </c>
      <c r="I142" s="8">
        <f t="shared" si="24"/>
        <v>90.580711666666673</v>
      </c>
      <c r="J142" s="8">
        <f t="shared" si="24"/>
        <v>92.321304999999995</v>
      </c>
    </row>
    <row r="143" spans="1:10">
      <c r="A143" s="21" t="s">
        <v>255</v>
      </c>
      <c r="B143" s="8">
        <f t="shared" ref="B143:J143" si="25">STDEV(B136:B141)</f>
        <v>13.407036159561384</v>
      </c>
      <c r="C143" s="8">
        <f t="shared" si="25"/>
        <v>9.3207960768845446</v>
      </c>
      <c r="D143" s="8">
        <f t="shared" si="25"/>
        <v>9.7638131125957202</v>
      </c>
      <c r="E143" s="8">
        <f t="shared" si="25"/>
        <v>16.72100278179439</v>
      </c>
      <c r="F143" s="8">
        <f t="shared" si="25"/>
        <v>6.7547487998723268</v>
      </c>
      <c r="G143" s="8">
        <f t="shared" si="25"/>
        <v>4.3631223321030843</v>
      </c>
      <c r="H143" s="8">
        <f t="shared" si="25"/>
        <v>3.9367169511125217</v>
      </c>
      <c r="I143" s="8">
        <f t="shared" si="25"/>
        <v>1.7046842816359475</v>
      </c>
      <c r="J143" s="8">
        <f t="shared" si="25"/>
        <v>4.1088230360469398</v>
      </c>
    </row>
    <row r="144" spans="1:10">
      <c r="A144" s="21"/>
    </row>
    <row r="145" spans="1:10">
      <c r="A145" s="21"/>
      <c r="E145" s="114"/>
    </row>
    <row r="146" spans="1:10">
      <c r="A146" s="21" t="s">
        <v>407</v>
      </c>
    </row>
    <row r="147" spans="1:10">
      <c r="A147" s="21" t="s">
        <v>13</v>
      </c>
      <c r="B147" s="8">
        <v>64.913550000000001</v>
      </c>
      <c r="C147" s="8">
        <v>57.175339999999998</v>
      </c>
      <c r="D147" s="8">
        <v>90.717820000000003</v>
      </c>
      <c r="E147" s="8">
        <v>75.176770000000005</v>
      </c>
      <c r="F147" s="8">
        <v>85.059520000000006</v>
      </c>
      <c r="G147" s="8">
        <v>92.027860000000004</v>
      </c>
      <c r="H147" s="8">
        <v>91.097700000000003</v>
      </c>
      <c r="I147" s="8">
        <v>89.044039999999995</v>
      </c>
      <c r="J147" s="8">
        <v>96.457790000000003</v>
      </c>
    </row>
    <row r="148" spans="1:10">
      <c r="A148" s="21" t="s">
        <v>19</v>
      </c>
      <c r="B148" s="8">
        <v>60.068489999999997</v>
      </c>
      <c r="C148" s="8">
        <v>50.936010000000003</v>
      </c>
      <c r="D148" s="8">
        <v>90.071749999999994</v>
      </c>
      <c r="E148" s="8">
        <v>78.658659999999998</v>
      </c>
      <c r="F148" s="8">
        <v>82.542140000000003</v>
      </c>
      <c r="G148" s="8">
        <v>93.809650000000005</v>
      </c>
      <c r="H148" s="8">
        <v>90.714129999999997</v>
      </c>
      <c r="I148" s="8">
        <v>91.228870000000001</v>
      </c>
      <c r="J148" s="8">
        <v>92.583330000000004</v>
      </c>
    </row>
    <row r="149" spans="1:10">
      <c r="A149" s="21" t="s">
        <v>22</v>
      </c>
      <c r="B149" s="8">
        <v>41.139380000000003</v>
      </c>
      <c r="C149" s="8">
        <v>56.216290000000001</v>
      </c>
      <c r="D149" s="8">
        <v>74.581419999999994</v>
      </c>
      <c r="E149" s="8">
        <v>93.782669999999996</v>
      </c>
      <c r="F149" s="8">
        <v>79.823350000000005</v>
      </c>
      <c r="G149" s="8">
        <v>87.104089999999999</v>
      </c>
      <c r="H149" s="8">
        <v>83.783069999999995</v>
      </c>
      <c r="I149" s="8">
        <v>91.020430000000005</v>
      </c>
      <c r="J149" s="8">
        <v>86.187089999999998</v>
      </c>
    </row>
    <row r="150" spans="1:10">
      <c r="A150" s="21" t="s">
        <v>24</v>
      </c>
      <c r="B150" s="8">
        <v>64.413070000000005</v>
      </c>
      <c r="C150" s="8">
        <v>51.073180000000001</v>
      </c>
      <c r="D150" s="8">
        <v>68.987489999999994</v>
      </c>
      <c r="E150" s="8">
        <v>91.162540000000007</v>
      </c>
      <c r="F150" s="8">
        <v>92.634519999999995</v>
      </c>
      <c r="G150" s="8">
        <v>87.66019</v>
      </c>
      <c r="H150" s="8">
        <v>94.001589999999993</v>
      </c>
      <c r="I150" s="8">
        <v>86.806370000000001</v>
      </c>
      <c r="J150" s="8">
        <v>95.749089999999995</v>
      </c>
    </row>
    <row r="151" spans="1:10">
      <c r="A151" s="21" t="s">
        <v>27</v>
      </c>
      <c r="B151" s="8">
        <v>75.836179999999999</v>
      </c>
      <c r="C151" s="8">
        <v>61.756689999999999</v>
      </c>
      <c r="D151" s="8">
        <v>93.458330000000004</v>
      </c>
      <c r="E151" s="8">
        <v>55.837539999999997</v>
      </c>
      <c r="F151" s="8">
        <v>77.26294</v>
      </c>
      <c r="G151" s="8">
        <v>79.858860000000007</v>
      </c>
      <c r="H151" s="8">
        <v>90.007099999999994</v>
      </c>
      <c r="I151" s="8">
        <v>86.975999999999999</v>
      </c>
      <c r="J151" s="8">
        <v>91.96857</v>
      </c>
    </row>
    <row r="152" spans="1:10">
      <c r="A152" s="21" t="s">
        <v>29</v>
      </c>
      <c r="B152" s="8">
        <v>50.558309999999999</v>
      </c>
      <c r="C152" s="8">
        <v>35.28566</v>
      </c>
      <c r="D152" s="8">
        <v>83.740279999999998</v>
      </c>
      <c r="E152" s="8">
        <v>93.57996</v>
      </c>
      <c r="F152" s="8">
        <v>93.295209999999997</v>
      </c>
      <c r="G152" s="8">
        <v>90.917310000000001</v>
      </c>
      <c r="H152" s="8">
        <v>90.765330000000006</v>
      </c>
      <c r="I152" s="8">
        <v>91.602490000000003</v>
      </c>
      <c r="J152" s="8">
        <v>90.128050000000002</v>
      </c>
    </row>
    <row r="153" spans="1:10">
      <c r="A153" s="21" t="s">
        <v>385</v>
      </c>
      <c r="B153" s="8">
        <f t="shared" ref="B153:J153" si="26">AVERAGE(B147:B152)</f>
        <v>59.48816333333334</v>
      </c>
      <c r="C153" s="8">
        <f t="shared" si="26"/>
        <v>52.073861666666666</v>
      </c>
      <c r="D153" s="8">
        <f t="shared" si="26"/>
        <v>83.592848333333322</v>
      </c>
      <c r="E153" s="8">
        <f t="shared" si="26"/>
        <v>81.366356666666661</v>
      </c>
      <c r="F153" s="8">
        <f t="shared" si="26"/>
        <v>85.102946666666668</v>
      </c>
      <c r="G153" s="8">
        <f t="shared" si="26"/>
        <v>88.562993333333338</v>
      </c>
      <c r="H153" s="8">
        <f t="shared" si="26"/>
        <v>90.061486666666667</v>
      </c>
      <c r="I153" s="8">
        <f t="shared" si="26"/>
        <v>89.446366666666677</v>
      </c>
      <c r="J153" s="8">
        <f t="shared" si="26"/>
        <v>92.178986666666674</v>
      </c>
    </row>
    <row r="154" spans="1:10">
      <c r="A154" s="21" t="s">
        <v>255</v>
      </c>
      <c r="B154" s="8">
        <f t="shared" ref="B154:J154" si="27">STDEV(B147:B152)</f>
        <v>12.14663809043744</v>
      </c>
      <c r="C154" s="8">
        <f t="shared" si="27"/>
        <v>9.1769465905505356</v>
      </c>
      <c r="D154" s="8">
        <f t="shared" si="27"/>
        <v>9.8449295103691803</v>
      </c>
      <c r="E154" s="8">
        <f t="shared" si="27"/>
        <v>14.809896932922515</v>
      </c>
      <c r="F154" s="8">
        <f t="shared" si="27"/>
        <v>6.6292871042599009</v>
      </c>
      <c r="G154" s="8">
        <f t="shared" si="27"/>
        <v>4.9755583413669928</v>
      </c>
      <c r="H154" s="8">
        <f t="shared" si="27"/>
        <v>3.374639680254274</v>
      </c>
      <c r="I154" s="8">
        <f t="shared" si="27"/>
        <v>2.1697014519851971</v>
      </c>
      <c r="J154" s="8">
        <f t="shared" si="27"/>
        <v>3.7781141156808205</v>
      </c>
    </row>
    <row r="155" spans="1:10">
      <c r="A155" s="21"/>
    </row>
    <row r="156" spans="1:10">
      <c r="A156" s="21"/>
      <c r="E156" s="114"/>
    </row>
    <row r="157" spans="1:10">
      <c r="A157" s="21" t="s">
        <v>408</v>
      </c>
      <c r="B157" s="113"/>
    </row>
    <row r="158" spans="1:10">
      <c r="A158" s="21" t="s">
        <v>13</v>
      </c>
      <c r="B158" s="8">
        <v>64.115939999999995</v>
      </c>
      <c r="C158" s="8">
        <v>57.238819999999997</v>
      </c>
      <c r="D158" s="8">
        <v>90.874979999999994</v>
      </c>
      <c r="E158" s="8">
        <v>75.244309999999999</v>
      </c>
      <c r="F158" s="8">
        <v>84.739069999999998</v>
      </c>
      <c r="G158" s="8">
        <v>93.842929999999996</v>
      </c>
      <c r="H158" s="8">
        <v>89.867440000000002</v>
      </c>
      <c r="I158" s="8">
        <v>88.947980000000001</v>
      </c>
      <c r="J158" s="8">
        <v>96.735969999999995</v>
      </c>
    </row>
    <row r="159" spans="1:10">
      <c r="A159" s="21" t="s">
        <v>19</v>
      </c>
      <c r="B159" s="8">
        <v>60.696460000000002</v>
      </c>
      <c r="C159" s="8">
        <v>53.442990000000002</v>
      </c>
      <c r="D159" s="8">
        <v>88.397930000000002</v>
      </c>
      <c r="E159" s="8">
        <v>77.727810000000005</v>
      </c>
      <c r="F159" s="8">
        <v>82.898570000000007</v>
      </c>
      <c r="G159" s="8">
        <v>92.164370000000005</v>
      </c>
      <c r="H159" s="8">
        <v>90.463170000000005</v>
      </c>
      <c r="I159" s="8">
        <v>91.922030000000007</v>
      </c>
      <c r="J159" s="8">
        <v>93.70908</v>
      </c>
    </row>
    <row r="160" spans="1:10">
      <c r="A160" s="21" t="s">
        <v>22</v>
      </c>
      <c r="B160" s="8">
        <v>41.513849999999998</v>
      </c>
      <c r="C160" s="8">
        <v>55.753810000000001</v>
      </c>
      <c r="D160" s="8">
        <v>75.064059999999998</v>
      </c>
      <c r="E160" s="8">
        <v>94.211560000000006</v>
      </c>
      <c r="F160" s="8">
        <v>80.67792</v>
      </c>
      <c r="G160" s="8">
        <v>86.549229999999994</v>
      </c>
      <c r="H160" s="8">
        <v>83.98236</v>
      </c>
      <c r="I160" s="8">
        <v>91.404719999999998</v>
      </c>
      <c r="J160" s="8">
        <v>86.6995</v>
      </c>
    </row>
    <row r="161" spans="1:10">
      <c r="A161" s="21" t="s">
        <v>24</v>
      </c>
      <c r="B161" s="8">
        <v>62.282519999999998</v>
      </c>
      <c r="C161" s="8">
        <v>50.992220000000003</v>
      </c>
      <c r="D161" s="8">
        <v>68.665549999999996</v>
      </c>
      <c r="E161" s="8">
        <v>91.271889999999999</v>
      </c>
      <c r="F161" s="8">
        <v>92.817809999999994</v>
      </c>
      <c r="G161" s="8">
        <v>87.789019999999994</v>
      </c>
      <c r="H161" s="8">
        <v>95.304559999999995</v>
      </c>
      <c r="I161" s="8">
        <v>88.962310000000002</v>
      </c>
      <c r="J161" s="8">
        <v>95.311409999999995</v>
      </c>
    </row>
    <row r="162" spans="1:10">
      <c r="A162" s="21" t="s">
        <v>27</v>
      </c>
      <c r="B162" s="8">
        <v>78.428539999999998</v>
      </c>
      <c r="C162" s="8">
        <v>58.59966</v>
      </c>
      <c r="D162" s="8">
        <v>93.323599999999999</v>
      </c>
      <c r="E162" s="8">
        <v>61.944420000000001</v>
      </c>
      <c r="F162" s="8">
        <v>76.444699999999997</v>
      </c>
      <c r="G162" s="8">
        <v>80.094669999999994</v>
      </c>
      <c r="H162" s="8">
        <v>91.267250000000004</v>
      </c>
      <c r="I162" s="8">
        <v>90.721220000000002</v>
      </c>
      <c r="J162" s="8">
        <v>93.59169</v>
      </c>
    </row>
    <row r="163" spans="1:10">
      <c r="A163" s="21" t="s">
        <v>29</v>
      </c>
      <c r="B163" s="8">
        <v>55.590069999999997</v>
      </c>
      <c r="C163" s="8">
        <v>32.330249999999999</v>
      </c>
      <c r="D163" s="8">
        <v>93.480029999999999</v>
      </c>
      <c r="E163" s="8">
        <v>92.7346</v>
      </c>
      <c r="F163" s="8">
        <v>93.601240000000004</v>
      </c>
      <c r="G163" s="8">
        <v>91.492949999999993</v>
      </c>
      <c r="H163" s="8">
        <v>90.962630000000004</v>
      </c>
      <c r="I163" s="8">
        <v>92.205430000000007</v>
      </c>
      <c r="J163" s="8">
        <v>93.478269999999995</v>
      </c>
    </row>
    <row r="164" spans="1:10">
      <c r="A164" s="21" t="s">
        <v>385</v>
      </c>
      <c r="B164" s="8">
        <f t="shared" ref="B164:J164" si="28">AVERAGE(B158:B163)</f>
        <v>60.437896666666667</v>
      </c>
      <c r="C164" s="8">
        <f t="shared" si="28"/>
        <v>51.392958333333333</v>
      </c>
      <c r="D164" s="8">
        <f t="shared" si="28"/>
        <v>84.967691666666667</v>
      </c>
      <c r="E164" s="8">
        <f t="shared" si="28"/>
        <v>82.189098333333334</v>
      </c>
      <c r="F164" s="8">
        <f t="shared" si="28"/>
        <v>85.196551666666679</v>
      </c>
      <c r="G164" s="8">
        <f t="shared" si="28"/>
        <v>88.655528333333322</v>
      </c>
      <c r="H164" s="8">
        <f t="shared" si="28"/>
        <v>90.307901666666666</v>
      </c>
      <c r="I164" s="8">
        <f t="shared" si="28"/>
        <v>90.693948333333324</v>
      </c>
      <c r="J164" s="8">
        <f t="shared" si="28"/>
        <v>93.254319999999993</v>
      </c>
    </row>
    <row r="165" spans="1:10">
      <c r="A165" s="21" t="s">
        <v>255</v>
      </c>
      <c r="B165" s="8">
        <f t="shared" ref="B165:J165" si="29">STDEV(B158:B163)</f>
        <v>12.018999177806219</v>
      </c>
      <c r="C165" s="8">
        <f t="shared" si="29"/>
        <v>9.7249960909471174</v>
      </c>
      <c r="D165" s="8">
        <f t="shared" si="29"/>
        <v>10.514613084292462</v>
      </c>
      <c r="E165" s="8">
        <f t="shared" si="29"/>
        <v>12.77673255411009</v>
      </c>
      <c r="F165" s="8">
        <f t="shared" si="29"/>
        <v>6.8003722473682773</v>
      </c>
      <c r="G165" s="8">
        <f t="shared" si="29"/>
        <v>5.0149315523082354</v>
      </c>
      <c r="H165" s="8">
        <f t="shared" si="29"/>
        <v>3.6481832472364464</v>
      </c>
      <c r="I165" s="8">
        <f t="shared" si="29"/>
        <v>1.438449043455023</v>
      </c>
      <c r="J165" s="8">
        <f t="shared" si="29"/>
        <v>3.4551396498549791</v>
      </c>
    </row>
    <row r="166" spans="1:10">
      <c r="A166" s="21"/>
    </row>
    <row r="167" spans="1:10">
      <c r="A167" s="21"/>
      <c r="E167" s="114"/>
    </row>
    <row r="168" spans="1:10">
      <c r="A168" s="21" t="s">
        <v>409</v>
      </c>
    </row>
    <row r="169" spans="1:10">
      <c r="A169" s="21" t="s">
        <v>13</v>
      </c>
      <c r="B169" s="8">
        <v>64.796239999999997</v>
      </c>
      <c r="C169" s="8">
        <v>56.93233</v>
      </c>
      <c r="D169" s="8">
        <v>91.104920000000007</v>
      </c>
      <c r="E169" s="8">
        <v>76.461089999999999</v>
      </c>
      <c r="F169" s="8">
        <v>82.7697</v>
      </c>
      <c r="G169" s="8">
        <v>91.785139999999998</v>
      </c>
      <c r="H169" s="8">
        <v>90.983279999999993</v>
      </c>
      <c r="I169" s="8">
        <v>89.106870000000001</v>
      </c>
      <c r="J169" s="8">
        <v>96.075649999999996</v>
      </c>
    </row>
    <row r="170" spans="1:10">
      <c r="A170" s="21" t="s">
        <v>19</v>
      </c>
      <c r="B170" s="8">
        <v>60.034590000000001</v>
      </c>
      <c r="C170" s="8">
        <v>43.492440000000002</v>
      </c>
      <c r="D170" s="8">
        <v>88.963679999999997</v>
      </c>
      <c r="E170" s="8">
        <v>78.270849999999996</v>
      </c>
      <c r="F170" s="8">
        <v>82.928610000000006</v>
      </c>
      <c r="G170" s="8">
        <v>92.412930000000003</v>
      </c>
      <c r="H170" s="8">
        <v>90.997540000000001</v>
      </c>
      <c r="I170" s="8">
        <v>92.357320000000001</v>
      </c>
      <c r="J170" s="8">
        <v>92.975899999999996</v>
      </c>
    </row>
    <row r="171" spans="1:10">
      <c r="A171" s="21" t="s">
        <v>22</v>
      </c>
      <c r="B171" s="8">
        <v>43.226260000000003</v>
      </c>
      <c r="C171" s="8">
        <v>58.125619999999998</v>
      </c>
      <c r="D171" s="8">
        <v>74.338700000000003</v>
      </c>
      <c r="E171" s="8">
        <v>94.426649999999995</v>
      </c>
      <c r="F171" s="8">
        <v>80.707239999999999</v>
      </c>
      <c r="G171" s="8">
        <v>86.343869999999995</v>
      </c>
      <c r="H171" s="8">
        <v>84.192149999999998</v>
      </c>
      <c r="I171" s="8">
        <v>91.318610000000007</v>
      </c>
      <c r="J171" s="8">
        <v>87.85651</v>
      </c>
    </row>
    <row r="172" spans="1:10">
      <c r="A172" s="21" t="s">
        <v>24</v>
      </c>
      <c r="B172" s="8">
        <v>65.769739999999999</v>
      </c>
      <c r="C172" s="8">
        <v>49.273539999999997</v>
      </c>
      <c r="D172" s="8">
        <v>69.172380000000004</v>
      </c>
      <c r="E172" s="8">
        <v>91.228660000000005</v>
      </c>
      <c r="F172" s="8">
        <v>93.344279999999998</v>
      </c>
      <c r="G172" s="8">
        <v>87.49136</v>
      </c>
      <c r="H172" s="8">
        <v>94.153999999999996</v>
      </c>
      <c r="I172" s="8">
        <v>89.391639999999995</v>
      </c>
      <c r="J172" s="8">
        <v>95.214240000000004</v>
      </c>
    </row>
    <row r="173" spans="1:10">
      <c r="A173" s="21" t="s">
        <v>27</v>
      </c>
      <c r="B173" s="8">
        <v>79.260509999999996</v>
      </c>
      <c r="C173" s="8">
        <v>64.771709999999999</v>
      </c>
      <c r="D173" s="8">
        <v>93.092820000000003</v>
      </c>
      <c r="E173" s="8">
        <v>70.671999999999997</v>
      </c>
      <c r="F173" s="8">
        <v>77.221100000000007</v>
      </c>
      <c r="G173" s="8">
        <v>79.936170000000004</v>
      </c>
      <c r="H173" s="8">
        <v>90.755520000000004</v>
      </c>
      <c r="I173" s="8">
        <v>87.36927</v>
      </c>
      <c r="J173" s="8">
        <v>92.007109999999997</v>
      </c>
    </row>
    <row r="174" spans="1:10">
      <c r="A174" s="21" t="s">
        <v>29</v>
      </c>
      <c r="B174" s="8">
        <v>60.827129999999997</v>
      </c>
      <c r="C174" s="8">
        <v>36.071550000000002</v>
      </c>
      <c r="D174" s="8">
        <v>93.505279999999999</v>
      </c>
      <c r="E174" s="8">
        <v>93.478939999999994</v>
      </c>
      <c r="F174" s="8">
        <v>93.693529999999996</v>
      </c>
      <c r="G174" s="8">
        <v>91.113460000000003</v>
      </c>
      <c r="H174" s="8">
        <v>90.552970000000002</v>
      </c>
      <c r="I174" s="8">
        <v>91.859120000000004</v>
      </c>
      <c r="J174" s="8">
        <v>93.505449999999996</v>
      </c>
    </row>
    <row r="175" spans="1:10">
      <c r="A175" s="21" t="s">
        <v>385</v>
      </c>
      <c r="B175" s="8">
        <f t="shared" ref="B175:J175" si="30">AVERAGE(B169:B174)</f>
        <v>62.31907833333333</v>
      </c>
      <c r="C175" s="8">
        <f t="shared" si="30"/>
        <v>51.44453166666667</v>
      </c>
      <c r="D175" s="8">
        <f t="shared" si="30"/>
        <v>85.029630000000012</v>
      </c>
      <c r="E175" s="8">
        <f t="shared" si="30"/>
        <v>84.089698333333331</v>
      </c>
      <c r="F175" s="8">
        <f t="shared" si="30"/>
        <v>85.110743333333332</v>
      </c>
      <c r="G175" s="8">
        <f t="shared" si="30"/>
        <v>88.180488333333344</v>
      </c>
      <c r="H175" s="8">
        <f t="shared" si="30"/>
        <v>90.272576666666666</v>
      </c>
      <c r="I175" s="8">
        <f t="shared" si="30"/>
        <v>90.233805000000004</v>
      </c>
      <c r="J175" s="8">
        <f t="shared" si="30"/>
        <v>92.939143333333334</v>
      </c>
    </row>
    <row r="176" spans="1:10">
      <c r="A176" s="21" t="s">
        <v>255</v>
      </c>
      <c r="B176" s="8">
        <f t="shared" ref="B176:J176" si="31">STDEV(B169:B174)</f>
        <v>11.636460041276106</v>
      </c>
      <c r="C176" s="8">
        <f t="shared" si="31"/>
        <v>10.551247188925904</v>
      </c>
      <c r="D176" s="8">
        <f t="shared" si="31"/>
        <v>10.535520259698519</v>
      </c>
      <c r="E176" s="8">
        <f t="shared" si="31"/>
        <v>10.179042117078453</v>
      </c>
      <c r="F176" s="8">
        <f t="shared" si="31"/>
        <v>6.8313228047536017</v>
      </c>
      <c r="G176" s="8">
        <f t="shared" si="31"/>
        <v>4.7186067528600706</v>
      </c>
      <c r="H176" s="8">
        <f t="shared" si="31"/>
        <v>3.2674014534040143</v>
      </c>
      <c r="I176" s="8">
        <f t="shared" si="31"/>
        <v>1.9241908346185439</v>
      </c>
      <c r="J176" s="8">
        <f t="shared" si="31"/>
        <v>2.8995737942509181</v>
      </c>
    </row>
    <row r="177" spans="1:10">
      <c r="A177" s="21"/>
    </row>
    <row r="178" spans="1:10">
      <c r="A178" s="21"/>
      <c r="E178" s="114"/>
    </row>
    <row r="179" spans="1:10">
      <c r="A179" s="21" t="s">
        <v>410</v>
      </c>
    </row>
    <row r="180" spans="1:10">
      <c r="A180" s="21" t="s">
        <v>13</v>
      </c>
      <c r="B180" s="8">
        <v>63.194879999999998</v>
      </c>
      <c r="C180" s="8">
        <v>55.81438</v>
      </c>
      <c r="D180" s="8">
        <v>92.801670000000001</v>
      </c>
      <c r="E180" s="8">
        <v>75.656599999999997</v>
      </c>
      <c r="F180" s="8">
        <v>83.750829999999993</v>
      </c>
      <c r="G180" s="8">
        <v>93.091189999999997</v>
      </c>
      <c r="H180" s="8">
        <v>90.842699999999994</v>
      </c>
      <c r="I180" s="8">
        <v>87.181550000000001</v>
      </c>
      <c r="J180" s="8">
        <v>95.940439999999995</v>
      </c>
    </row>
    <row r="181" spans="1:10">
      <c r="A181" s="21" t="s">
        <v>19</v>
      </c>
      <c r="B181" s="8">
        <v>60.485080000000004</v>
      </c>
      <c r="C181" s="8">
        <v>46.835169999999998</v>
      </c>
      <c r="D181" s="8">
        <v>88.136229999999998</v>
      </c>
      <c r="E181" s="8">
        <v>76.161649999999995</v>
      </c>
      <c r="F181" s="8">
        <v>82.967650000000006</v>
      </c>
      <c r="G181" s="8">
        <v>91.937359999999998</v>
      </c>
      <c r="H181" s="8">
        <v>91.484620000000007</v>
      </c>
      <c r="I181" s="8">
        <v>92.178880000000007</v>
      </c>
      <c r="J181" s="8">
        <v>90.202129999999997</v>
      </c>
    </row>
    <row r="182" spans="1:10">
      <c r="A182" s="21" t="s">
        <v>22</v>
      </c>
      <c r="B182" s="8">
        <v>41.380119999999998</v>
      </c>
      <c r="C182" s="8">
        <v>58.94453</v>
      </c>
      <c r="D182" s="8">
        <v>73.326970000000003</v>
      </c>
      <c r="E182" s="8">
        <v>94.475800000000007</v>
      </c>
      <c r="F182" s="8">
        <v>80.471760000000003</v>
      </c>
      <c r="G182" s="8">
        <v>86.765230000000003</v>
      </c>
      <c r="H182" s="8">
        <v>84.048609999999996</v>
      </c>
      <c r="I182" s="8">
        <v>90.655429999999996</v>
      </c>
      <c r="J182" s="8">
        <v>87.703699999999998</v>
      </c>
    </row>
    <row r="183" spans="1:10">
      <c r="A183" s="21" t="s">
        <v>24</v>
      </c>
      <c r="B183" s="8">
        <v>65.093109999999996</v>
      </c>
      <c r="C183" s="8">
        <v>43.328890000000001</v>
      </c>
      <c r="D183" s="8">
        <v>67.753050000000002</v>
      </c>
      <c r="E183" s="8">
        <v>91.331270000000004</v>
      </c>
      <c r="F183" s="8">
        <v>93.135840000000002</v>
      </c>
      <c r="G183" s="8">
        <v>86.859939999999995</v>
      </c>
      <c r="H183" s="8">
        <v>94.448139999999995</v>
      </c>
      <c r="I183" s="8">
        <v>88.431049999999999</v>
      </c>
      <c r="J183" s="8">
        <v>95.159009999999995</v>
      </c>
    </row>
    <row r="184" spans="1:10">
      <c r="A184" s="21" t="s">
        <v>27</v>
      </c>
      <c r="B184" s="8">
        <v>78.967420000000004</v>
      </c>
      <c r="C184" s="8">
        <v>62.809190000000001</v>
      </c>
      <c r="D184" s="8">
        <v>92.590260000000001</v>
      </c>
      <c r="E184" s="8">
        <v>75.806089999999998</v>
      </c>
      <c r="F184" s="8">
        <v>76.868269999999995</v>
      </c>
      <c r="G184" s="8">
        <v>79.765940000000001</v>
      </c>
      <c r="H184" s="8">
        <v>89.697879999999998</v>
      </c>
      <c r="I184" s="8">
        <v>90.700389999999999</v>
      </c>
      <c r="J184" s="8">
        <v>89.976849999999999</v>
      </c>
    </row>
    <row r="185" spans="1:10">
      <c r="A185" s="21" t="s">
        <v>29</v>
      </c>
      <c r="B185" s="8">
        <v>59.208930000000002</v>
      </c>
      <c r="C185" s="8">
        <v>35.987319999999997</v>
      </c>
      <c r="D185" s="8">
        <v>93.249629999999996</v>
      </c>
      <c r="E185" s="8">
        <v>93.57347</v>
      </c>
      <c r="F185" s="8">
        <v>92.675129999999996</v>
      </c>
      <c r="G185" s="8">
        <v>90.810730000000007</v>
      </c>
      <c r="H185" s="8">
        <v>91.631720000000001</v>
      </c>
      <c r="I185" s="8">
        <v>92.976320000000001</v>
      </c>
      <c r="J185" s="8">
        <v>92.229439999999997</v>
      </c>
    </row>
    <row r="186" spans="1:10">
      <c r="A186" s="21" t="s">
        <v>385</v>
      </c>
      <c r="B186" s="8">
        <f>AVERAGE(B180:B185)</f>
        <v>61.38825666666667</v>
      </c>
      <c r="C186" s="8">
        <f t="shared" ref="C186" si="32">AVERAGE(C180:C185)</f>
        <v>50.619913333333336</v>
      </c>
      <c r="D186" s="8">
        <f t="shared" ref="D186:I186" si="33">AVERAGE(D180:D185)</f>
        <v>84.642968333333329</v>
      </c>
      <c r="E186" s="8">
        <f t="shared" si="33"/>
        <v>84.500813333333326</v>
      </c>
      <c r="F186" s="8">
        <f t="shared" si="33"/>
        <v>84.978246666666678</v>
      </c>
      <c r="G186" s="8">
        <f t="shared" si="33"/>
        <v>88.205064999999991</v>
      </c>
      <c r="H186" s="8">
        <f t="shared" si="33"/>
        <v>90.358945000000006</v>
      </c>
      <c r="I186" s="8">
        <f t="shared" si="33"/>
        <v>90.353936666666655</v>
      </c>
      <c r="J186" s="8">
        <f t="shared" ref="J186" si="34">AVERAGE(J180:J185)</f>
        <v>91.868594999999985</v>
      </c>
    </row>
    <row r="187" spans="1:10">
      <c r="A187" s="21" t="s">
        <v>255</v>
      </c>
      <c r="B187" s="8">
        <f>STDEV(B180:B185)</f>
        <v>12.098822548275828</v>
      </c>
      <c r="C187" s="8">
        <f t="shared" ref="C187" si="35">STDEV(C180:C185)</f>
        <v>10.26115279351917</v>
      </c>
      <c r="D187" s="8">
        <f t="shared" ref="D187:I187" si="36">STDEV(D180:D185)</f>
        <v>11.218935060188979</v>
      </c>
      <c r="E187" s="8">
        <f t="shared" si="36"/>
        <v>9.5060882038337642</v>
      </c>
      <c r="F187" s="8">
        <f t="shared" si="36"/>
        <v>6.5942025488960123</v>
      </c>
      <c r="G187" s="8">
        <f t="shared" si="36"/>
        <v>4.8927507689100613</v>
      </c>
      <c r="H187" s="8">
        <f t="shared" si="36"/>
        <v>3.466986293620153</v>
      </c>
      <c r="I187" s="8">
        <f t="shared" si="36"/>
        <v>2.1990803057066084</v>
      </c>
      <c r="J187" s="8">
        <f t="shared" ref="J187" si="37">STDEV(J180:J185)</f>
        <v>3.2012221663780216</v>
      </c>
    </row>
    <row r="188" spans="1:10">
      <c r="A188" s="21"/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workbookViewId="0"/>
  </sheetViews>
  <sheetFormatPr defaultRowHeight="15"/>
  <sheetData>
    <row r="1" spans="1:17">
      <c r="A1" s="1" t="s">
        <v>796</v>
      </c>
    </row>
    <row r="3" spans="1:17">
      <c r="A3" s="1" t="s">
        <v>412</v>
      </c>
      <c r="B3" s="1"/>
      <c r="C3" s="1"/>
      <c r="D3" s="1"/>
    </row>
    <row r="4" spans="1:17">
      <c r="G4" s="72"/>
      <c r="H4" s="73"/>
      <c r="I4" s="72"/>
      <c r="J4" s="73"/>
      <c r="K4" s="74"/>
      <c r="L4" s="75"/>
      <c r="M4" s="10"/>
      <c r="N4" s="76"/>
      <c r="O4" s="76"/>
      <c r="P4" s="77" t="s">
        <v>262</v>
      </c>
      <c r="Q4" s="76"/>
    </row>
    <row r="5" spans="1:17">
      <c r="B5">
        <v>1</v>
      </c>
      <c r="G5" s="72"/>
      <c r="H5" s="73"/>
      <c r="I5" s="72"/>
      <c r="J5" s="73"/>
      <c r="K5" s="74"/>
      <c r="L5" s="75"/>
      <c r="M5" s="10"/>
      <c r="N5" s="76"/>
      <c r="O5" s="76"/>
      <c r="P5" s="78"/>
      <c r="Q5" s="76"/>
    </row>
    <row r="6" spans="1:17">
      <c r="G6" s="72"/>
      <c r="H6" s="79" t="s">
        <v>263</v>
      </c>
      <c r="I6" s="80"/>
      <c r="J6" s="79" t="s">
        <v>264</v>
      </c>
      <c r="K6" s="74"/>
      <c r="L6" s="75"/>
      <c r="M6" s="10"/>
      <c r="N6" s="77" t="s">
        <v>265</v>
      </c>
      <c r="O6" s="76"/>
      <c r="P6" s="76"/>
      <c r="Q6" s="76"/>
    </row>
    <row r="7" spans="1:17">
      <c r="G7" s="72"/>
      <c r="H7" s="79" t="s">
        <v>266</v>
      </c>
      <c r="I7" s="80" t="s">
        <v>267</v>
      </c>
      <c r="J7" s="79" t="s">
        <v>268</v>
      </c>
      <c r="K7" s="74"/>
      <c r="L7" s="75"/>
      <c r="M7" s="10"/>
      <c r="N7" s="78"/>
      <c r="O7" s="76"/>
      <c r="P7" s="76"/>
      <c r="Q7" s="76"/>
    </row>
    <row r="8" spans="1:17">
      <c r="G8" s="81" t="s">
        <v>269</v>
      </c>
      <c r="H8" s="82" t="s">
        <v>270</v>
      </c>
      <c r="I8" s="81" t="s">
        <v>271</v>
      </c>
      <c r="J8" s="82" t="s">
        <v>272</v>
      </c>
      <c r="K8" s="74"/>
      <c r="L8" s="79" t="s">
        <v>273</v>
      </c>
      <c r="M8" s="77"/>
      <c r="N8" s="83"/>
      <c r="O8" s="83"/>
      <c r="P8" s="83"/>
      <c r="Q8" s="76"/>
    </row>
    <row r="9" spans="1:17">
      <c r="G9" s="80"/>
      <c r="H9" s="79"/>
      <c r="I9" s="80"/>
      <c r="J9" s="79"/>
      <c r="K9" s="74"/>
      <c r="L9" s="35"/>
      <c r="M9" s="78" t="s">
        <v>274</v>
      </c>
      <c r="N9" s="83"/>
      <c r="O9" s="78" t="s">
        <v>274</v>
      </c>
      <c r="P9" s="83"/>
      <c r="Q9" s="78" t="s">
        <v>274</v>
      </c>
    </row>
    <row r="10" spans="1:17" ht="15.75" thickBot="1">
      <c r="C10" s="1">
        <v>1</v>
      </c>
      <c r="D10" s="1" t="s">
        <v>256</v>
      </c>
      <c r="E10" s="1" t="s">
        <v>204</v>
      </c>
      <c r="F10" s="1" t="s">
        <v>411</v>
      </c>
      <c r="G10" s="84"/>
      <c r="H10" s="85"/>
      <c r="I10" s="84"/>
      <c r="J10" s="85"/>
      <c r="K10" s="86"/>
      <c r="L10" s="87" t="s">
        <v>272</v>
      </c>
      <c r="M10" s="88"/>
      <c r="N10" s="89" t="s">
        <v>275</v>
      </c>
      <c r="O10" s="90"/>
      <c r="P10" s="91" t="s">
        <v>276</v>
      </c>
      <c r="Q10" s="92"/>
    </row>
    <row r="11" spans="1:17">
      <c r="D11" t="s">
        <v>220</v>
      </c>
      <c r="E11" t="s">
        <v>220</v>
      </c>
      <c r="F11" t="s">
        <v>220</v>
      </c>
      <c r="G11" s="80">
        <v>1.56</v>
      </c>
      <c r="H11" s="79">
        <v>10.3</v>
      </c>
      <c r="I11" s="80">
        <v>80.599999999999994</v>
      </c>
      <c r="J11" s="79">
        <v>7.55</v>
      </c>
      <c r="K11" s="115">
        <f t="shared" ref="K11:K19" si="0">SUM(G11:J11)</f>
        <v>100.00999999999999</v>
      </c>
      <c r="L11" s="94">
        <f t="shared" ref="L11" si="1">SUM(J11)</f>
        <v>7.55</v>
      </c>
      <c r="M11" s="95"/>
      <c r="N11" s="96">
        <f t="shared" ref="N11:N19" si="2">SUM(H11,J11)</f>
        <v>17.850000000000001</v>
      </c>
      <c r="O11" s="80"/>
      <c r="P11" s="96">
        <f t="shared" ref="P11:P19" si="3">SUM(G11,H11,J11)</f>
        <v>19.41</v>
      </c>
      <c r="Q11" s="80"/>
    </row>
    <row r="12" spans="1:17">
      <c r="D12" t="s">
        <v>220</v>
      </c>
      <c r="E12" t="s">
        <v>220</v>
      </c>
      <c r="F12" t="s">
        <v>220</v>
      </c>
      <c r="G12" s="80">
        <v>0.38</v>
      </c>
      <c r="H12" s="79">
        <v>6.83</v>
      </c>
      <c r="I12" s="80">
        <v>58.7</v>
      </c>
      <c r="J12" s="79">
        <v>34.1</v>
      </c>
      <c r="K12" s="115">
        <f t="shared" si="0"/>
        <v>100.00999999999999</v>
      </c>
      <c r="L12" s="94">
        <f t="shared" ref="L12:L15" si="4">SUM(J12)</f>
        <v>34.1</v>
      </c>
      <c r="M12" s="95"/>
      <c r="N12" s="96">
        <f t="shared" si="2"/>
        <v>40.93</v>
      </c>
      <c r="O12" s="80"/>
      <c r="P12" s="96">
        <f t="shared" si="3"/>
        <v>41.31</v>
      </c>
    </row>
    <row r="13" spans="1:17">
      <c r="D13" t="s">
        <v>221</v>
      </c>
      <c r="E13" t="s">
        <v>220</v>
      </c>
      <c r="F13" t="s">
        <v>220</v>
      </c>
      <c r="G13" s="80">
        <v>0.23</v>
      </c>
      <c r="H13" s="79">
        <v>10.1</v>
      </c>
      <c r="I13" s="80">
        <v>58.1</v>
      </c>
      <c r="J13" s="79">
        <v>31.6</v>
      </c>
      <c r="K13" s="115">
        <f t="shared" si="0"/>
        <v>100.03</v>
      </c>
      <c r="L13" s="94">
        <f t="shared" si="4"/>
        <v>31.6</v>
      </c>
      <c r="M13" s="95"/>
      <c r="N13" s="96">
        <f t="shared" si="2"/>
        <v>41.7</v>
      </c>
      <c r="O13" s="80"/>
      <c r="P13" s="96">
        <f t="shared" si="3"/>
        <v>41.93</v>
      </c>
    </row>
    <row r="14" spans="1:17">
      <c r="D14" t="s">
        <v>220</v>
      </c>
      <c r="E14" t="s">
        <v>221</v>
      </c>
      <c r="F14" t="s">
        <v>220</v>
      </c>
      <c r="G14" s="80">
        <v>0.31</v>
      </c>
      <c r="H14" s="79">
        <v>9.19</v>
      </c>
      <c r="I14" s="80">
        <v>57.8</v>
      </c>
      <c r="J14" s="79">
        <v>32.700000000000003</v>
      </c>
      <c r="K14" s="115">
        <f t="shared" si="0"/>
        <v>100</v>
      </c>
      <c r="L14" s="94">
        <f t="shared" si="4"/>
        <v>32.700000000000003</v>
      </c>
      <c r="M14" s="95"/>
      <c r="N14" s="96">
        <f t="shared" si="2"/>
        <v>41.89</v>
      </c>
      <c r="O14" s="80"/>
      <c r="P14" s="96">
        <f t="shared" si="3"/>
        <v>42.2</v>
      </c>
    </row>
    <row r="15" spans="1:17">
      <c r="D15" t="s">
        <v>220</v>
      </c>
      <c r="E15" t="s">
        <v>220</v>
      </c>
      <c r="F15" t="s">
        <v>221</v>
      </c>
      <c r="G15" s="80">
        <v>0.27</v>
      </c>
      <c r="H15" s="79">
        <v>9.26</v>
      </c>
      <c r="I15" s="80">
        <v>59</v>
      </c>
      <c r="J15" s="79">
        <v>31.5</v>
      </c>
      <c r="K15" s="115">
        <f t="shared" si="0"/>
        <v>100.03</v>
      </c>
      <c r="L15" s="94">
        <f t="shared" si="4"/>
        <v>31.5</v>
      </c>
      <c r="M15" s="95"/>
      <c r="N15" s="96">
        <f t="shared" si="2"/>
        <v>40.76</v>
      </c>
      <c r="O15" s="80"/>
      <c r="P15" s="96">
        <f t="shared" si="3"/>
        <v>41.03</v>
      </c>
    </row>
    <row r="16" spans="1:17">
      <c r="D16" t="s">
        <v>221</v>
      </c>
      <c r="E16" t="s">
        <v>221</v>
      </c>
      <c r="F16" t="s">
        <v>220</v>
      </c>
      <c r="G16" s="80">
        <v>1.1499999999999999</v>
      </c>
      <c r="H16" s="79">
        <v>9.5</v>
      </c>
      <c r="I16" s="80">
        <v>84.2</v>
      </c>
      <c r="J16" s="79">
        <v>5.16</v>
      </c>
      <c r="K16" s="115">
        <f t="shared" si="0"/>
        <v>100.01</v>
      </c>
      <c r="L16" s="94">
        <f t="shared" ref="L16:L19" si="5">SUM(J16)</f>
        <v>5.16</v>
      </c>
      <c r="M16" s="95"/>
      <c r="N16" s="96">
        <f t="shared" si="2"/>
        <v>14.66</v>
      </c>
      <c r="O16" s="80"/>
      <c r="P16" s="96">
        <f t="shared" si="3"/>
        <v>15.81</v>
      </c>
    </row>
    <row r="17" spans="2:17">
      <c r="D17" t="s">
        <v>220</v>
      </c>
      <c r="E17" t="s">
        <v>221</v>
      </c>
      <c r="F17" t="s">
        <v>221</v>
      </c>
      <c r="G17" s="80">
        <v>2.2599999999999998</v>
      </c>
      <c r="H17" s="79">
        <v>11.2</v>
      </c>
      <c r="I17" s="80">
        <v>79.2</v>
      </c>
      <c r="J17" s="79">
        <v>7.42</v>
      </c>
      <c r="K17" s="115">
        <f t="shared" si="0"/>
        <v>100.08</v>
      </c>
      <c r="L17" s="94">
        <f t="shared" si="5"/>
        <v>7.42</v>
      </c>
      <c r="M17" s="95"/>
      <c r="N17" s="96">
        <f t="shared" si="2"/>
        <v>18.619999999999997</v>
      </c>
      <c r="O17" s="80"/>
      <c r="P17" s="96">
        <f t="shared" si="3"/>
        <v>20.88</v>
      </c>
    </row>
    <row r="18" spans="2:17">
      <c r="D18" t="s">
        <v>221</v>
      </c>
      <c r="E18" t="s">
        <v>220</v>
      </c>
      <c r="F18" t="s">
        <v>221</v>
      </c>
      <c r="G18" s="80">
        <v>1.97</v>
      </c>
      <c r="H18" s="79">
        <v>7.67</v>
      </c>
      <c r="I18" s="80">
        <v>85.8</v>
      </c>
      <c r="J18" s="79">
        <v>4.53</v>
      </c>
      <c r="K18" s="115">
        <f t="shared" si="0"/>
        <v>99.97</v>
      </c>
      <c r="L18" s="94">
        <f t="shared" si="5"/>
        <v>4.53</v>
      </c>
      <c r="M18" s="95"/>
      <c r="N18" s="96">
        <f t="shared" si="2"/>
        <v>12.2</v>
      </c>
      <c r="O18" s="80"/>
      <c r="P18" s="96">
        <f t="shared" si="3"/>
        <v>14.170000000000002</v>
      </c>
    </row>
    <row r="19" spans="2:17">
      <c r="D19" t="s">
        <v>221</v>
      </c>
      <c r="E19" t="s">
        <v>221</v>
      </c>
      <c r="F19" t="s">
        <v>221</v>
      </c>
      <c r="G19" s="80">
        <v>0.99</v>
      </c>
      <c r="H19" s="79">
        <v>6.95</v>
      </c>
      <c r="I19" s="80">
        <v>89.1</v>
      </c>
      <c r="J19" s="79">
        <v>2.93</v>
      </c>
      <c r="K19" s="115">
        <f t="shared" si="0"/>
        <v>99.97</v>
      </c>
      <c r="L19" s="94">
        <f t="shared" si="5"/>
        <v>2.93</v>
      </c>
      <c r="M19" s="95"/>
      <c r="N19" s="96">
        <f t="shared" si="2"/>
        <v>9.8800000000000008</v>
      </c>
      <c r="O19" s="80"/>
      <c r="P19" s="96">
        <f t="shared" si="3"/>
        <v>10.870000000000001</v>
      </c>
    </row>
    <row r="21" spans="2:17">
      <c r="G21" s="72"/>
      <c r="H21" s="73"/>
      <c r="I21" s="72"/>
      <c r="J21" s="73"/>
      <c r="K21" s="74"/>
      <c r="L21" s="75"/>
      <c r="M21" s="10"/>
      <c r="N21" s="76"/>
      <c r="O21" s="76"/>
      <c r="P21" s="77" t="s">
        <v>262</v>
      </c>
      <c r="Q21" s="76"/>
    </row>
    <row r="22" spans="2:17">
      <c r="B22">
        <v>2</v>
      </c>
      <c r="G22" s="72"/>
      <c r="H22" s="73"/>
      <c r="I22" s="72"/>
      <c r="J22" s="73"/>
      <c r="K22" s="74"/>
      <c r="L22" s="75"/>
      <c r="M22" s="10"/>
      <c r="N22" s="76"/>
      <c r="O22" s="76"/>
      <c r="P22" s="78"/>
      <c r="Q22" s="76"/>
    </row>
    <row r="23" spans="2:17">
      <c r="G23" s="72"/>
      <c r="H23" s="79" t="s">
        <v>263</v>
      </c>
      <c r="I23" s="80"/>
      <c r="J23" s="79" t="s">
        <v>264</v>
      </c>
      <c r="K23" s="74"/>
      <c r="L23" s="75"/>
      <c r="M23" s="10"/>
      <c r="N23" s="77" t="s">
        <v>265</v>
      </c>
      <c r="O23" s="76"/>
      <c r="P23" s="76"/>
      <c r="Q23" s="76"/>
    </row>
    <row r="24" spans="2:17">
      <c r="G24" s="72"/>
      <c r="H24" s="79" t="s">
        <v>266</v>
      </c>
      <c r="I24" s="80" t="s">
        <v>267</v>
      </c>
      <c r="J24" s="79" t="s">
        <v>268</v>
      </c>
      <c r="K24" s="74"/>
      <c r="L24" s="75"/>
      <c r="M24" s="10"/>
      <c r="N24" s="78"/>
      <c r="O24" s="76"/>
      <c r="P24" s="76"/>
      <c r="Q24" s="76"/>
    </row>
    <row r="25" spans="2:17">
      <c r="G25" s="81" t="s">
        <v>269</v>
      </c>
      <c r="H25" s="82" t="s">
        <v>270</v>
      </c>
      <c r="I25" s="81" t="s">
        <v>271</v>
      </c>
      <c r="J25" s="82" t="s">
        <v>272</v>
      </c>
      <c r="K25" s="74"/>
      <c r="L25" s="79" t="s">
        <v>273</v>
      </c>
      <c r="M25" s="77"/>
      <c r="N25" s="83"/>
      <c r="O25" s="83"/>
      <c r="P25" s="83"/>
      <c r="Q25" s="76"/>
    </row>
    <row r="26" spans="2:17">
      <c r="G26" s="80"/>
      <c r="H26" s="79"/>
      <c r="I26" s="80"/>
      <c r="J26" s="79"/>
      <c r="K26" s="74"/>
      <c r="L26" s="35"/>
      <c r="M26" s="78" t="s">
        <v>274</v>
      </c>
      <c r="N26" s="83"/>
      <c r="O26" s="78" t="s">
        <v>274</v>
      </c>
      <c r="P26" s="83"/>
      <c r="Q26" s="78" t="s">
        <v>274</v>
      </c>
    </row>
    <row r="27" spans="2:17" ht="15.75" thickBot="1">
      <c r="C27" s="1">
        <v>1</v>
      </c>
      <c r="D27" s="1" t="s">
        <v>256</v>
      </c>
      <c r="E27" s="1" t="s">
        <v>204</v>
      </c>
      <c r="F27" s="1" t="s">
        <v>411</v>
      </c>
      <c r="G27" s="84"/>
      <c r="H27" s="85"/>
      <c r="I27" s="84"/>
      <c r="J27" s="85"/>
      <c r="K27" s="86"/>
      <c r="L27" s="87" t="s">
        <v>272</v>
      </c>
      <c r="M27" s="88"/>
      <c r="N27" s="89" t="s">
        <v>275</v>
      </c>
      <c r="O27" s="90"/>
      <c r="P27" s="91" t="s">
        <v>276</v>
      </c>
      <c r="Q27" s="92"/>
    </row>
    <row r="28" spans="2:17">
      <c r="D28" t="s">
        <v>220</v>
      </c>
      <c r="E28" t="s">
        <v>220</v>
      </c>
      <c r="F28" t="s">
        <v>220</v>
      </c>
      <c r="G28" s="80">
        <v>2.65</v>
      </c>
      <c r="H28" s="79">
        <v>9.7899999999999991</v>
      </c>
      <c r="I28" s="80">
        <v>82.5</v>
      </c>
      <c r="J28" s="79">
        <v>5.09</v>
      </c>
      <c r="K28" s="115">
        <f t="shared" ref="K28:K36" si="6">SUM(G28:J28)</f>
        <v>100.03</v>
      </c>
      <c r="L28" s="94">
        <f t="shared" ref="L28" si="7">SUM(J28)</f>
        <v>5.09</v>
      </c>
      <c r="M28" s="95"/>
      <c r="N28" s="96">
        <f t="shared" ref="N28:N36" si="8">SUM(H28,J28)</f>
        <v>14.879999999999999</v>
      </c>
      <c r="O28" s="80"/>
      <c r="P28" s="96">
        <f t="shared" ref="P28:P36" si="9">SUM(G28,H28,J28)</f>
        <v>17.53</v>
      </c>
      <c r="Q28" s="80"/>
    </row>
    <row r="29" spans="2:17">
      <c r="D29" t="s">
        <v>220</v>
      </c>
      <c r="E29" t="s">
        <v>220</v>
      </c>
      <c r="F29" t="s">
        <v>220</v>
      </c>
      <c r="G29" s="80">
        <v>0.36</v>
      </c>
      <c r="H29" s="79">
        <v>9.69</v>
      </c>
      <c r="I29" s="80">
        <v>42.7</v>
      </c>
      <c r="J29" s="79">
        <v>47.2</v>
      </c>
      <c r="K29" s="115">
        <f t="shared" si="6"/>
        <v>99.95</v>
      </c>
      <c r="L29" s="94">
        <f t="shared" ref="L29:L32" si="10">SUM(J29)</f>
        <v>47.2</v>
      </c>
      <c r="M29" s="95"/>
      <c r="N29" s="96">
        <f t="shared" si="8"/>
        <v>56.89</v>
      </c>
      <c r="O29" s="80"/>
      <c r="P29" s="96">
        <f t="shared" si="9"/>
        <v>57.25</v>
      </c>
    </row>
    <row r="30" spans="2:17">
      <c r="D30" t="s">
        <v>221</v>
      </c>
      <c r="E30" t="s">
        <v>220</v>
      </c>
      <c r="F30" t="s">
        <v>220</v>
      </c>
      <c r="G30" s="80">
        <v>0.17</v>
      </c>
      <c r="H30" s="79">
        <v>5.3</v>
      </c>
      <c r="I30" s="80">
        <v>59.8</v>
      </c>
      <c r="J30" s="79">
        <v>34.700000000000003</v>
      </c>
      <c r="K30" s="115">
        <f t="shared" si="6"/>
        <v>99.97</v>
      </c>
      <c r="L30" s="94">
        <f t="shared" si="10"/>
        <v>34.700000000000003</v>
      </c>
      <c r="M30" s="95"/>
      <c r="N30" s="96">
        <f t="shared" si="8"/>
        <v>40</v>
      </c>
      <c r="O30" s="80"/>
      <c r="P30" s="96">
        <f t="shared" si="9"/>
        <v>40.17</v>
      </c>
    </row>
    <row r="31" spans="2:17">
      <c r="D31" t="s">
        <v>220</v>
      </c>
      <c r="E31" t="s">
        <v>221</v>
      </c>
      <c r="F31" t="s">
        <v>220</v>
      </c>
      <c r="G31" s="80">
        <v>0.33</v>
      </c>
      <c r="H31" s="79">
        <v>6.92</v>
      </c>
      <c r="I31" s="80">
        <v>60.6</v>
      </c>
      <c r="J31" s="79">
        <v>32.200000000000003</v>
      </c>
      <c r="K31" s="115">
        <f t="shared" si="6"/>
        <v>100.05</v>
      </c>
      <c r="L31" s="94">
        <f t="shared" si="10"/>
        <v>32.200000000000003</v>
      </c>
      <c r="M31" s="95"/>
      <c r="N31" s="96">
        <f t="shared" si="8"/>
        <v>39.120000000000005</v>
      </c>
      <c r="O31" s="80"/>
      <c r="P31" s="96">
        <f t="shared" si="9"/>
        <v>39.450000000000003</v>
      </c>
    </row>
    <row r="32" spans="2:17">
      <c r="D32" t="s">
        <v>220</v>
      </c>
      <c r="E32" t="s">
        <v>220</v>
      </c>
      <c r="F32" t="s">
        <v>221</v>
      </c>
      <c r="G32" s="80">
        <v>0.38</v>
      </c>
      <c r="H32" s="79">
        <v>7.03</v>
      </c>
      <c r="I32" s="80">
        <v>61.3</v>
      </c>
      <c r="J32" s="79">
        <v>31.3</v>
      </c>
      <c r="K32" s="115">
        <f t="shared" si="6"/>
        <v>100.00999999999999</v>
      </c>
      <c r="L32" s="94">
        <f t="shared" si="10"/>
        <v>31.3</v>
      </c>
      <c r="M32" s="95"/>
      <c r="N32" s="96">
        <f t="shared" si="8"/>
        <v>38.33</v>
      </c>
      <c r="O32" s="80"/>
      <c r="P32" s="96">
        <f t="shared" si="9"/>
        <v>38.71</v>
      </c>
    </row>
    <row r="33" spans="4:16">
      <c r="D33" t="s">
        <v>221</v>
      </c>
      <c r="E33" t="s">
        <v>221</v>
      </c>
      <c r="F33" t="s">
        <v>220</v>
      </c>
      <c r="G33" s="80">
        <v>1.1200000000000001</v>
      </c>
      <c r="H33" s="79">
        <v>10</v>
      </c>
      <c r="I33" s="80">
        <v>83.9</v>
      </c>
      <c r="J33" s="79">
        <v>5.01</v>
      </c>
      <c r="K33" s="115">
        <f t="shared" si="6"/>
        <v>100.03000000000002</v>
      </c>
      <c r="L33" s="94">
        <f t="shared" ref="L33:L36" si="11">SUM(J33)</f>
        <v>5.01</v>
      </c>
      <c r="M33" s="95"/>
      <c r="N33" s="96">
        <f t="shared" si="8"/>
        <v>15.01</v>
      </c>
      <c r="O33" s="80"/>
      <c r="P33" s="96">
        <f t="shared" si="9"/>
        <v>16.130000000000003</v>
      </c>
    </row>
    <row r="34" spans="4:16">
      <c r="D34" t="s">
        <v>220</v>
      </c>
      <c r="E34" t="s">
        <v>221</v>
      </c>
      <c r="F34" t="s">
        <v>221</v>
      </c>
      <c r="G34" s="80">
        <v>1.97</v>
      </c>
      <c r="H34" s="79">
        <v>7.67</v>
      </c>
      <c r="I34" s="80">
        <v>85.8</v>
      </c>
      <c r="J34" s="79">
        <v>4.53</v>
      </c>
      <c r="K34" s="115">
        <f t="shared" si="6"/>
        <v>99.97</v>
      </c>
      <c r="L34" s="94">
        <f t="shared" si="11"/>
        <v>4.53</v>
      </c>
      <c r="M34" s="95"/>
      <c r="N34" s="96">
        <f t="shared" si="8"/>
        <v>12.2</v>
      </c>
      <c r="O34" s="80"/>
      <c r="P34" s="96">
        <f t="shared" si="9"/>
        <v>14.170000000000002</v>
      </c>
    </row>
    <row r="35" spans="4:16">
      <c r="D35" t="s">
        <v>221</v>
      </c>
      <c r="E35" t="s">
        <v>220</v>
      </c>
      <c r="F35" t="s">
        <v>221</v>
      </c>
      <c r="G35" s="80">
        <v>1.55</v>
      </c>
      <c r="H35" s="79">
        <v>7.77</v>
      </c>
      <c r="I35" s="80">
        <v>86.3</v>
      </c>
      <c r="J35" s="79">
        <v>4.3499999999999996</v>
      </c>
      <c r="K35" s="115">
        <f t="shared" si="6"/>
        <v>99.97</v>
      </c>
      <c r="L35" s="94">
        <f t="shared" si="11"/>
        <v>4.3499999999999996</v>
      </c>
      <c r="M35" s="95"/>
      <c r="N35" s="96">
        <f t="shared" si="8"/>
        <v>12.12</v>
      </c>
      <c r="O35" s="80"/>
      <c r="P35" s="96">
        <f t="shared" si="9"/>
        <v>13.67</v>
      </c>
    </row>
    <row r="36" spans="4:16">
      <c r="D36" t="s">
        <v>221</v>
      </c>
      <c r="E36" t="s">
        <v>221</v>
      </c>
      <c r="F36" t="s">
        <v>221</v>
      </c>
      <c r="G36" s="80">
        <v>1.17</v>
      </c>
      <c r="H36" s="79">
        <v>9.43</v>
      </c>
      <c r="I36" s="80">
        <v>85.8</v>
      </c>
      <c r="J36" s="79">
        <v>3.59</v>
      </c>
      <c r="K36" s="115">
        <f t="shared" si="6"/>
        <v>99.99</v>
      </c>
      <c r="L36" s="94">
        <f t="shared" si="11"/>
        <v>3.59</v>
      </c>
      <c r="M36" s="95"/>
      <c r="N36" s="96">
        <f t="shared" si="8"/>
        <v>13.02</v>
      </c>
      <c r="O36" s="80"/>
      <c r="P36" s="96">
        <f t="shared" si="9"/>
        <v>14.19</v>
      </c>
    </row>
  </sheetData>
  <pageMargins left="0.7" right="0.7" top="0.75" bottom="0.75" header="0.3" footer="0.3"/>
  <pageSetup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workbookViewId="0"/>
  </sheetViews>
  <sheetFormatPr defaultRowHeight="15"/>
  <sheetData>
    <row r="1" spans="1:19">
      <c r="A1" t="s">
        <v>797</v>
      </c>
    </row>
    <row r="3" spans="1:19">
      <c r="A3" s="1" t="s">
        <v>413</v>
      </c>
      <c r="B3" s="1"/>
      <c r="C3" s="1"/>
      <c r="D3" s="1"/>
    </row>
    <row r="7" spans="1:19" ht="15.75" thickBot="1">
      <c r="D7" s="1" t="s">
        <v>256</v>
      </c>
      <c r="E7" s="1" t="s">
        <v>204</v>
      </c>
      <c r="F7" s="1" t="s">
        <v>411</v>
      </c>
      <c r="G7" s="116" t="s">
        <v>414</v>
      </c>
      <c r="H7" s="116" t="s">
        <v>415</v>
      </c>
      <c r="I7" s="116" t="s">
        <v>416</v>
      </c>
      <c r="J7" s="117" t="s">
        <v>417</v>
      </c>
      <c r="M7" s="1" t="s">
        <v>256</v>
      </c>
      <c r="N7" s="1" t="s">
        <v>204</v>
      </c>
      <c r="O7" s="1" t="s">
        <v>411</v>
      </c>
      <c r="P7" s="116" t="s">
        <v>414</v>
      </c>
      <c r="Q7" s="116" t="s">
        <v>415</v>
      </c>
      <c r="R7" s="116" t="s">
        <v>416</v>
      </c>
      <c r="S7" s="117" t="s">
        <v>417</v>
      </c>
    </row>
    <row r="8" spans="1:19" ht="15.75" thickTop="1">
      <c r="D8" t="s">
        <v>220</v>
      </c>
      <c r="E8" t="s">
        <v>220</v>
      </c>
      <c r="F8" t="s">
        <v>220</v>
      </c>
      <c r="G8" s="83">
        <v>61.82</v>
      </c>
      <c r="H8" s="83">
        <v>4.07</v>
      </c>
      <c r="I8" s="83">
        <v>34.11</v>
      </c>
      <c r="J8" s="74">
        <f t="shared" ref="J8:J10" si="0">SUM(G8:I8)</f>
        <v>100</v>
      </c>
      <c r="M8" t="s">
        <v>220</v>
      </c>
      <c r="N8" t="s">
        <v>220</v>
      </c>
      <c r="O8" t="s">
        <v>220</v>
      </c>
      <c r="P8" s="118">
        <v>61.56</v>
      </c>
      <c r="Q8" s="118">
        <v>4.38</v>
      </c>
      <c r="R8" s="118">
        <v>34.06</v>
      </c>
      <c r="S8" s="74">
        <f>SUM(P8:R8)</f>
        <v>100</v>
      </c>
    </row>
    <row r="9" spans="1:19">
      <c r="D9" t="s">
        <v>220</v>
      </c>
      <c r="E9" t="s">
        <v>220</v>
      </c>
      <c r="F9" t="s">
        <v>220</v>
      </c>
      <c r="G9" s="80">
        <v>60.85</v>
      </c>
      <c r="H9" s="80">
        <v>4.66</v>
      </c>
      <c r="I9" s="80">
        <v>34.49</v>
      </c>
      <c r="J9" s="74">
        <f t="shared" si="0"/>
        <v>100</v>
      </c>
      <c r="M9" t="s">
        <v>220</v>
      </c>
      <c r="N9" t="s">
        <v>220</v>
      </c>
      <c r="O9" t="s">
        <v>220</v>
      </c>
      <c r="P9" s="80">
        <v>61.78</v>
      </c>
      <c r="Q9" s="80">
        <v>6.28</v>
      </c>
      <c r="R9" s="80">
        <v>31.95</v>
      </c>
      <c r="S9" s="74">
        <f>SUM(P9:R9)</f>
        <v>100.01</v>
      </c>
    </row>
    <row r="10" spans="1:19">
      <c r="D10" t="s">
        <v>221</v>
      </c>
      <c r="E10" t="s">
        <v>220</v>
      </c>
      <c r="F10" t="s">
        <v>220</v>
      </c>
      <c r="G10" s="80">
        <v>59.41</v>
      </c>
      <c r="H10" s="80">
        <v>3.88</v>
      </c>
      <c r="I10" s="80">
        <v>36.71</v>
      </c>
      <c r="J10" s="74">
        <f t="shared" si="0"/>
        <v>100</v>
      </c>
      <c r="M10" t="s">
        <v>221</v>
      </c>
      <c r="N10" t="s">
        <v>220</v>
      </c>
      <c r="O10" t="s">
        <v>220</v>
      </c>
      <c r="P10" s="80">
        <v>63.49</v>
      </c>
      <c r="Q10" s="80">
        <v>5.5</v>
      </c>
      <c r="R10" s="80">
        <v>31.01</v>
      </c>
      <c r="S10" s="74">
        <f>SUM(P10:R10)</f>
        <v>100.00000000000001</v>
      </c>
    </row>
    <row r="11" spans="1:19">
      <c r="D11" t="s">
        <v>220</v>
      </c>
      <c r="E11" t="s">
        <v>221</v>
      </c>
      <c r="F11" t="s">
        <v>220</v>
      </c>
      <c r="G11" s="80">
        <v>62.2</v>
      </c>
      <c r="H11" s="80">
        <v>5.18</v>
      </c>
      <c r="I11" s="80">
        <v>32.619999999999997</v>
      </c>
      <c r="J11" s="74">
        <f t="shared" ref="J11:J12" si="1">SUM(G11:I11)</f>
        <v>100</v>
      </c>
      <c r="M11" t="s">
        <v>220</v>
      </c>
      <c r="N11" t="s">
        <v>221</v>
      </c>
      <c r="O11" t="s">
        <v>220</v>
      </c>
      <c r="P11" s="80">
        <v>59.6</v>
      </c>
      <c r="Q11" s="80">
        <v>4.54</v>
      </c>
      <c r="R11" s="80">
        <v>35.85</v>
      </c>
      <c r="S11" s="74">
        <f>SUM(P11:R11)</f>
        <v>99.990000000000009</v>
      </c>
    </row>
    <row r="12" spans="1:19">
      <c r="D12" t="s">
        <v>220</v>
      </c>
      <c r="E12" t="s">
        <v>220</v>
      </c>
      <c r="F12" t="s">
        <v>221</v>
      </c>
      <c r="G12" s="80">
        <v>63.03</v>
      </c>
      <c r="H12" s="80">
        <v>4.4000000000000004</v>
      </c>
      <c r="I12" s="80">
        <v>32.56</v>
      </c>
      <c r="J12" s="74">
        <f t="shared" si="1"/>
        <v>99.990000000000009</v>
      </c>
      <c r="M12" t="s">
        <v>220</v>
      </c>
      <c r="N12" t="s">
        <v>220</v>
      </c>
      <c r="O12" t="s">
        <v>221</v>
      </c>
      <c r="P12" s="80">
        <v>62.63</v>
      </c>
      <c r="Q12" s="80">
        <v>5.05</v>
      </c>
      <c r="R12" s="80">
        <v>32.32</v>
      </c>
      <c r="S12" s="74">
        <f>SUM(P12:R12)</f>
        <v>100</v>
      </c>
    </row>
    <row r="13" spans="1:19">
      <c r="D13" t="s">
        <v>221</v>
      </c>
      <c r="E13" t="s">
        <v>221</v>
      </c>
      <c r="F13" t="s">
        <v>220</v>
      </c>
      <c r="G13" s="83">
        <v>61.18</v>
      </c>
      <c r="H13" s="83">
        <v>5.18</v>
      </c>
      <c r="I13" s="83">
        <v>33.64</v>
      </c>
      <c r="J13" s="74">
        <f>SUM(G13:I13)</f>
        <v>100</v>
      </c>
      <c r="M13" t="s">
        <v>221</v>
      </c>
      <c r="N13" t="s">
        <v>221</v>
      </c>
      <c r="O13" t="s">
        <v>220</v>
      </c>
      <c r="P13" s="118">
        <v>60.29</v>
      </c>
      <c r="Q13" s="118">
        <v>4.33</v>
      </c>
      <c r="R13" s="118">
        <v>35.380000000000003</v>
      </c>
      <c r="S13" s="74">
        <f t="shared" ref="S13:S14" si="2">SUM(P13:R13)</f>
        <v>100</v>
      </c>
    </row>
    <row r="14" spans="1:19">
      <c r="D14" t="s">
        <v>220</v>
      </c>
      <c r="E14" t="s">
        <v>221</v>
      </c>
      <c r="F14" t="s">
        <v>221</v>
      </c>
      <c r="G14" s="118">
        <v>64.239999999999995</v>
      </c>
      <c r="H14" s="118">
        <v>3.95</v>
      </c>
      <c r="I14" s="118">
        <v>31.82</v>
      </c>
      <c r="J14" s="74">
        <f t="shared" ref="J14:J16" si="3">SUM(G14:I14)</f>
        <v>100.00999999999999</v>
      </c>
      <c r="M14" t="s">
        <v>220</v>
      </c>
      <c r="N14" t="s">
        <v>221</v>
      </c>
      <c r="O14" t="s">
        <v>221</v>
      </c>
      <c r="P14" s="80">
        <v>62.4</v>
      </c>
      <c r="Q14" s="80">
        <v>5.2</v>
      </c>
      <c r="R14" s="80">
        <v>32.4</v>
      </c>
      <c r="S14" s="74">
        <f t="shared" si="2"/>
        <v>100</v>
      </c>
    </row>
    <row r="15" spans="1:19">
      <c r="D15" t="s">
        <v>221</v>
      </c>
      <c r="E15" t="s">
        <v>220</v>
      </c>
      <c r="F15" t="s">
        <v>221</v>
      </c>
      <c r="G15" s="80">
        <v>62.65</v>
      </c>
      <c r="H15" s="80">
        <v>5.87</v>
      </c>
      <c r="I15" s="80">
        <v>31.47</v>
      </c>
      <c r="J15" s="74">
        <f t="shared" si="3"/>
        <v>99.99</v>
      </c>
      <c r="M15" t="s">
        <v>221</v>
      </c>
      <c r="N15" t="s">
        <v>220</v>
      </c>
      <c r="O15" t="s">
        <v>221</v>
      </c>
      <c r="P15" s="80">
        <v>63.54</v>
      </c>
      <c r="Q15" s="80">
        <v>5.49</v>
      </c>
      <c r="R15" s="80">
        <v>30.97</v>
      </c>
      <c r="S15" s="74">
        <f>SUM(P15:R15)</f>
        <v>100</v>
      </c>
    </row>
    <row r="16" spans="1:19">
      <c r="D16" t="s">
        <v>221</v>
      </c>
      <c r="E16" t="s">
        <v>221</v>
      </c>
      <c r="F16" t="s">
        <v>221</v>
      </c>
      <c r="G16" s="118">
        <v>61.29</v>
      </c>
      <c r="H16" s="118">
        <v>5.15</v>
      </c>
      <c r="I16" s="118">
        <v>33.549999999999997</v>
      </c>
      <c r="J16" s="74">
        <f t="shared" si="3"/>
        <v>99.99</v>
      </c>
      <c r="M16" t="s">
        <v>221</v>
      </c>
      <c r="N16" t="s">
        <v>221</v>
      </c>
      <c r="O16" t="s">
        <v>221</v>
      </c>
      <c r="P16" s="83">
        <v>58.67</v>
      </c>
      <c r="Q16" s="83">
        <v>4.57</v>
      </c>
      <c r="R16" s="83">
        <v>36.76</v>
      </c>
      <c r="S16" s="74">
        <f t="shared" ref="S16" si="4">SUM(P16:R16)</f>
        <v>100</v>
      </c>
    </row>
    <row r="17" spans="7:14">
      <c r="G17" s="83"/>
      <c r="H17" s="83"/>
      <c r="I17" s="83"/>
      <c r="J17" s="74"/>
    </row>
    <row r="19" spans="7:14">
      <c r="K19" s="83"/>
      <c r="L19" s="83"/>
      <c r="M19" s="83"/>
      <c r="N19" s="74"/>
    </row>
    <row r="20" spans="7:14">
      <c r="K20" s="118"/>
      <c r="L20" s="118"/>
      <c r="M20" s="118"/>
      <c r="N20" s="74"/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2"/>
  <sheetViews>
    <sheetView workbookViewId="0">
      <selection activeCell="C13" sqref="C13"/>
    </sheetView>
  </sheetViews>
  <sheetFormatPr defaultRowHeight="15"/>
  <cols>
    <col min="1" max="3" width="9.140625" style="42"/>
    <col min="4" max="4" width="23.140625" style="42" customWidth="1"/>
    <col min="5" max="5" width="23.7109375" style="42" customWidth="1"/>
    <col min="6" max="6" width="32.85546875" style="42" customWidth="1"/>
    <col min="7" max="7" width="29.85546875" style="42" customWidth="1"/>
    <col min="8" max="8" width="24.28515625" style="122" customWidth="1"/>
    <col min="9" max="9" width="24.85546875" style="122" customWidth="1"/>
    <col min="10" max="10" width="9.140625" style="122"/>
    <col min="11" max="16384" width="9.140625" style="42"/>
  </cols>
  <sheetData>
    <row r="1" spans="1:10">
      <c r="A1" s="42" t="s">
        <v>798</v>
      </c>
    </row>
    <row r="2" spans="1:10" ht="15.75">
      <c r="D2" s="181" t="s">
        <v>420</v>
      </c>
      <c r="E2" s="182"/>
      <c r="F2" s="182"/>
      <c r="G2" s="50"/>
      <c r="H2" s="120" t="s">
        <v>419</v>
      </c>
      <c r="I2" s="120"/>
      <c r="J2" s="120"/>
    </row>
    <row r="3" spans="1:10" ht="15.75">
      <c r="D3" s="121" t="s">
        <v>193</v>
      </c>
      <c r="E3" s="121" t="s">
        <v>421</v>
      </c>
      <c r="F3" s="121" t="s">
        <v>422</v>
      </c>
      <c r="G3" s="121"/>
      <c r="H3" s="121" t="s">
        <v>193</v>
      </c>
      <c r="I3" s="121" t="s">
        <v>198</v>
      </c>
      <c r="J3" s="121" t="s">
        <v>199</v>
      </c>
    </row>
    <row r="4" spans="1:10">
      <c r="D4" s="43">
        <v>39.479999999999997</v>
      </c>
      <c r="E4" s="43">
        <v>312.58</v>
      </c>
      <c r="F4" s="43">
        <v>596.12</v>
      </c>
      <c r="H4" s="50">
        <v>0.54854000000000003</v>
      </c>
      <c r="I4" s="50">
        <v>0.39429999999999998</v>
      </c>
      <c r="J4" s="50">
        <v>0.28320000000000001</v>
      </c>
    </row>
    <row r="5" spans="1:10">
      <c r="D5" s="43">
        <v>28.59</v>
      </c>
      <c r="E5" s="43">
        <v>638.38</v>
      </c>
      <c r="F5" s="43">
        <v>652.53</v>
      </c>
      <c r="H5" s="50">
        <v>0.98660000000000003</v>
      </c>
      <c r="I5" s="50">
        <v>0.23050000000000001</v>
      </c>
      <c r="J5" s="50">
        <v>0.123</v>
      </c>
    </row>
    <row r="6" spans="1:10">
      <c r="D6" s="43">
        <v>86.29</v>
      </c>
      <c r="E6" s="43">
        <v>582.28</v>
      </c>
      <c r="F6" s="43">
        <v>1039.23</v>
      </c>
      <c r="H6" s="50">
        <v>0.75960000000000005</v>
      </c>
      <c r="I6" s="50">
        <v>0.55300000000000005</v>
      </c>
      <c r="J6" s="50">
        <v>0.38400000000000001</v>
      </c>
    </row>
    <row r="7" spans="1:10">
      <c r="D7" s="43">
        <v>77.16</v>
      </c>
      <c r="E7" s="43">
        <v>628.21</v>
      </c>
      <c r="F7" s="43">
        <v>596.29</v>
      </c>
      <c r="H7" s="50">
        <v>0.85740000000000005</v>
      </c>
      <c r="I7" s="50">
        <v>0.39500000000000002</v>
      </c>
      <c r="J7" s="50">
        <v>0.123</v>
      </c>
    </row>
    <row r="8" spans="1:10">
      <c r="D8" s="43">
        <v>174.57</v>
      </c>
      <c r="E8" s="43">
        <v>584.39</v>
      </c>
      <c r="F8" s="43">
        <v>596.5</v>
      </c>
      <c r="H8" s="50">
        <v>0.77429999999999999</v>
      </c>
      <c r="I8" s="50">
        <v>0.33</v>
      </c>
      <c r="J8" s="50">
        <v>0.21199999999999999</v>
      </c>
    </row>
    <row r="9" spans="1:10">
      <c r="D9" s="43">
        <v>185.27</v>
      </c>
      <c r="E9" s="43">
        <v>528.49</v>
      </c>
      <c r="F9" s="43">
        <v>799.29</v>
      </c>
      <c r="H9" s="50">
        <v>0.52939999999999998</v>
      </c>
      <c r="I9" s="50">
        <v>0.1043</v>
      </c>
      <c r="J9" s="50">
        <v>0.21099999999999999</v>
      </c>
    </row>
    <row r="10" spans="1:10">
      <c r="D10" s="43">
        <v>68.37</v>
      </c>
      <c r="E10" s="43">
        <v>622.19000000000005</v>
      </c>
      <c r="F10" s="43">
        <v>1945.29</v>
      </c>
      <c r="H10" s="50">
        <v>0.67300000000000004</v>
      </c>
      <c r="I10" s="50">
        <v>0.32900000000000001</v>
      </c>
      <c r="J10" s="50">
        <v>0.19400000000000001</v>
      </c>
    </row>
    <row r="11" spans="1:10">
      <c r="D11" s="43">
        <v>98.33</v>
      </c>
      <c r="E11" s="43">
        <v>574.58000000000004</v>
      </c>
      <c r="F11" s="43">
        <v>586.29</v>
      </c>
      <c r="H11" s="50">
        <v>0.61229999999999996</v>
      </c>
      <c r="I11" s="50">
        <v>0.249</v>
      </c>
      <c r="J11" s="50">
        <v>0.124</v>
      </c>
    </row>
    <row r="12" spans="1:10">
      <c r="D12" s="43">
        <v>49.42</v>
      </c>
      <c r="E12" s="43">
        <v>338.18</v>
      </c>
      <c r="F12" s="43">
        <v>1093.5</v>
      </c>
      <c r="H12" s="50">
        <v>0.56869999999999998</v>
      </c>
      <c r="I12" s="50">
        <v>0.24299999999999999</v>
      </c>
      <c r="J12" s="50">
        <v>0.221</v>
      </c>
    </row>
    <row r="13" spans="1:10">
      <c r="D13" s="43">
        <v>59.68</v>
      </c>
      <c r="E13" s="43">
        <v>538.67999999999995</v>
      </c>
      <c r="F13" s="43">
        <v>1095.67</v>
      </c>
      <c r="H13" s="50">
        <v>0.86450000000000005</v>
      </c>
      <c r="I13" s="50">
        <v>0.42299999999999999</v>
      </c>
      <c r="J13" s="50">
        <v>0.215</v>
      </c>
    </row>
    <row r="14" spans="1:10">
      <c r="D14" s="43">
        <v>68.680000000000007</v>
      </c>
      <c r="E14" s="43">
        <v>428.55</v>
      </c>
      <c r="F14" s="43">
        <v>2192.54</v>
      </c>
      <c r="H14" s="50">
        <v>0.79600000000000004</v>
      </c>
      <c r="I14" s="50">
        <v>0.29499999999999998</v>
      </c>
      <c r="J14" s="50">
        <v>0.125</v>
      </c>
    </row>
    <row r="15" spans="1:10">
      <c r="D15" s="43">
        <v>102.43</v>
      </c>
      <c r="E15" s="43">
        <v>533.64</v>
      </c>
      <c r="F15" s="43">
        <v>783.19</v>
      </c>
      <c r="H15" s="50">
        <v>0.89600000000000002</v>
      </c>
      <c r="I15" s="50">
        <v>0.22900000000000001</v>
      </c>
      <c r="J15" s="50">
        <v>0.12</v>
      </c>
    </row>
    <row r="16" spans="1:10">
      <c r="D16" s="43"/>
      <c r="E16" s="43">
        <v>437.35</v>
      </c>
      <c r="F16" s="43">
        <v>496.7</v>
      </c>
      <c r="H16" s="50"/>
      <c r="I16" s="50">
        <v>0.154</v>
      </c>
      <c r="J16" s="50">
        <v>0.219</v>
      </c>
    </row>
    <row r="17" spans="4:10">
      <c r="D17" s="43"/>
      <c r="E17" s="43">
        <v>538.58000000000004</v>
      </c>
      <c r="F17" s="43">
        <v>1085.3900000000001</v>
      </c>
      <c r="H17" s="50"/>
      <c r="I17" s="50">
        <v>0.23499999999999999</v>
      </c>
      <c r="J17" s="50">
        <v>0.114</v>
      </c>
    </row>
    <row r="18" spans="4:10">
      <c r="D18" s="43"/>
      <c r="E18" s="43">
        <v>663.18</v>
      </c>
      <c r="F18" s="43">
        <v>933.19</v>
      </c>
      <c r="H18" s="50"/>
      <c r="I18" s="50">
        <v>0.39500000000000002</v>
      </c>
      <c r="J18" s="50">
        <v>4.3499999999999997E-2</v>
      </c>
    </row>
    <row r="19" spans="4:10">
      <c r="D19" s="43"/>
      <c r="E19" s="43">
        <v>638.48</v>
      </c>
      <c r="F19" s="43">
        <v>948.92</v>
      </c>
      <c r="H19" s="50"/>
      <c r="I19" s="50">
        <v>0.23</v>
      </c>
      <c r="J19" s="50">
        <v>0.129</v>
      </c>
    </row>
    <row r="20" spans="4:10">
      <c r="D20" s="43"/>
      <c r="E20" s="43">
        <v>647.39</v>
      </c>
      <c r="F20" s="43">
        <v>1035.49</v>
      </c>
      <c r="H20" s="50"/>
      <c r="I20" s="50">
        <v>0.24299999999999999</v>
      </c>
      <c r="J20" s="50">
        <v>0.14299999999999999</v>
      </c>
    </row>
    <row r="21" spans="4:10">
      <c r="D21" s="43"/>
      <c r="E21" s="43">
        <v>518.64</v>
      </c>
      <c r="F21" s="43">
        <v>781.11</v>
      </c>
      <c r="H21" s="50"/>
      <c r="I21" s="50">
        <v>0.129</v>
      </c>
      <c r="J21" s="50">
        <v>0.193</v>
      </c>
    </row>
    <row r="22" spans="4:10">
      <c r="D22" s="43"/>
      <c r="E22" s="43">
        <v>438.22</v>
      </c>
      <c r="F22" s="43">
        <v>618.34</v>
      </c>
      <c r="H22" s="50"/>
      <c r="I22" s="50">
        <v>0.152</v>
      </c>
      <c r="J22" s="50">
        <v>0.312</v>
      </c>
    </row>
    <row r="23" spans="4:10">
      <c r="D23" s="43"/>
      <c r="E23" s="43">
        <v>433.23</v>
      </c>
      <c r="F23" s="43">
        <v>679.45</v>
      </c>
      <c r="H23" s="50"/>
      <c r="I23" s="50">
        <v>0.24299999999999999</v>
      </c>
      <c r="J23" s="50">
        <v>0.12</v>
      </c>
    </row>
    <row r="24" spans="4:10">
      <c r="D24" s="43"/>
      <c r="E24" s="43">
        <v>468.48</v>
      </c>
      <c r="F24" s="43">
        <v>697.11</v>
      </c>
      <c r="H24" s="50"/>
      <c r="I24" s="50">
        <v>0.254</v>
      </c>
      <c r="J24" s="50">
        <v>0.219</v>
      </c>
    </row>
    <row r="25" spans="4:10">
      <c r="D25" s="43"/>
      <c r="E25" s="43">
        <v>328.33</v>
      </c>
      <c r="F25" s="43">
        <v>687.29</v>
      </c>
      <c r="H25" s="50"/>
      <c r="I25" s="50">
        <v>0.23499999999999999</v>
      </c>
      <c r="J25" s="50">
        <v>0.159</v>
      </c>
    </row>
    <row r="26" spans="4:10">
      <c r="D26" s="43"/>
      <c r="E26" s="43">
        <v>301.83</v>
      </c>
      <c r="F26" s="43">
        <v>1094.69</v>
      </c>
      <c r="H26" s="50"/>
      <c r="I26" s="50">
        <v>0.12</v>
      </c>
      <c r="J26" s="50">
        <v>0.124</v>
      </c>
    </row>
    <row r="27" spans="4:10">
      <c r="D27" s="43"/>
      <c r="E27" s="43">
        <v>583.36</v>
      </c>
      <c r="F27" s="43">
        <v>496.66</v>
      </c>
      <c r="H27" s="50"/>
      <c r="I27" s="50">
        <v>0.16400000000000001</v>
      </c>
      <c r="J27" s="50">
        <v>0.214</v>
      </c>
    </row>
    <row r="28" spans="4:10">
      <c r="D28" s="43"/>
      <c r="E28" s="43">
        <v>638.38</v>
      </c>
      <c r="F28" s="43">
        <v>782.39</v>
      </c>
      <c r="H28" s="50"/>
      <c r="I28" s="50">
        <v>0.32400000000000001</v>
      </c>
      <c r="J28" s="50">
        <v>0.224</v>
      </c>
    </row>
    <row r="29" spans="4:10">
      <c r="D29" s="43"/>
      <c r="E29" s="43">
        <v>668.79</v>
      </c>
      <c r="F29" s="43">
        <v>793.12</v>
      </c>
      <c r="H29" s="50"/>
      <c r="I29" s="50">
        <v>0.23499999999999999</v>
      </c>
      <c r="J29" s="50">
        <v>0.13900000000000001</v>
      </c>
    </row>
    <row r="30" spans="4:10">
      <c r="D30" s="43"/>
      <c r="E30" s="43">
        <v>528.38</v>
      </c>
      <c r="F30" s="43">
        <v>678.55</v>
      </c>
      <c r="H30" s="50"/>
      <c r="I30" s="50">
        <v>0.219</v>
      </c>
      <c r="J30" s="50">
        <v>0.125</v>
      </c>
    </row>
    <row r="31" spans="4:10">
      <c r="D31" s="43"/>
      <c r="E31" s="43">
        <v>538.19000000000005</v>
      </c>
      <c r="F31" s="43">
        <v>785.45</v>
      </c>
      <c r="H31" s="50"/>
      <c r="I31" s="50">
        <v>0.434</v>
      </c>
      <c r="J31" s="50">
        <v>0.192</v>
      </c>
    </row>
    <row r="32" spans="4:10">
      <c r="D32" s="43"/>
      <c r="E32" s="43">
        <v>344.54</v>
      </c>
      <c r="F32" s="43">
        <v>898.93</v>
      </c>
      <c r="H32" s="50"/>
      <c r="I32" s="50">
        <v>0.23799999999999999</v>
      </c>
      <c r="J32" s="50">
        <v>0.214</v>
      </c>
    </row>
    <row r="33" spans="4:10">
      <c r="D33" s="43"/>
      <c r="E33" s="43">
        <v>274.58</v>
      </c>
      <c r="F33" s="43">
        <v>792.31</v>
      </c>
      <c r="H33" s="50"/>
      <c r="I33" s="50">
        <v>0.14199999999999999</v>
      </c>
      <c r="J33" s="50"/>
    </row>
    <row r="34" spans="4:10">
      <c r="D34" s="43"/>
      <c r="E34" s="43">
        <v>582.17999999999995</v>
      </c>
      <c r="F34" s="43">
        <v>1058.6199999999999</v>
      </c>
      <c r="H34" s="50"/>
      <c r="I34" s="50">
        <v>0.19</v>
      </c>
      <c r="J34" s="50"/>
    </row>
    <row r="35" spans="4:10">
      <c r="D35" s="43"/>
      <c r="E35" s="43">
        <v>327.33</v>
      </c>
      <c r="F35" s="43">
        <v>992.28</v>
      </c>
      <c r="H35" s="50"/>
      <c r="I35" s="50">
        <v>0.19400000000000001</v>
      </c>
      <c r="J35" s="50"/>
    </row>
    <row r="36" spans="4:10">
      <c r="D36" s="43"/>
      <c r="E36" s="43">
        <v>428.48</v>
      </c>
      <c r="F36" s="43">
        <v>785.29</v>
      </c>
      <c r="H36" s="50"/>
      <c r="I36" s="50">
        <v>0.32900000000000001</v>
      </c>
      <c r="J36" s="50"/>
    </row>
    <row r="37" spans="4:10">
      <c r="D37" s="43"/>
      <c r="E37" s="43">
        <v>528.17999999999995</v>
      </c>
      <c r="F37" s="43">
        <v>586.11</v>
      </c>
      <c r="H37" s="50"/>
      <c r="I37" s="50">
        <v>0.125</v>
      </c>
      <c r="J37" s="50"/>
    </row>
    <row r="38" spans="4:10">
      <c r="D38" s="43"/>
      <c r="E38" s="43">
        <v>429.39</v>
      </c>
      <c r="F38" s="43">
        <v>591.12</v>
      </c>
      <c r="H38" s="50"/>
      <c r="I38" s="50">
        <v>0.33200000000000002</v>
      </c>
      <c r="J38" s="50"/>
    </row>
    <row r="39" spans="4:10">
      <c r="D39" s="43"/>
      <c r="E39" s="43"/>
      <c r="F39" s="43">
        <v>418.95</v>
      </c>
      <c r="H39" s="50"/>
      <c r="I39" s="50">
        <v>0.129</v>
      </c>
      <c r="J39" s="50"/>
    </row>
    <row r="40" spans="4:10">
      <c r="D40" s="43"/>
      <c r="E40" s="43"/>
      <c r="F40" s="43">
        <v>583.69000000000005</v>
      </c>
      <c r="H40" s="50"/>
      <c r="I40" s="50">
        <v>0.253</v>
      </c>
      <c r="J40" s="50"/>
    </row>
    <row r="41" spans="4:10">
      <c r="D41" s="43"/>
      <c r="E41" s="43"/>
      <c r="F41" s="43">
        <v>1039.54</v>
      </c>
      <c r="H41" s="50"/>
      <c r="I41" s="50">
        <v>0.28499999999999998</v>
      </c>
      <c r="J41" s="50"/>
    </row>
    <row r="42" spans="4:10">
      <c r="D42" s="43"/>
      <c r="E42" s="43"/>
      <c r="F42" s="43">
        <v>928.11</v>
      </c>
      <c r="H42" s="50"/>
      <c r="I42" s="50">
        <v>0.13200000000000001</v>
      </c>
      <c r="J42" s="50"/>
    </row>
    <row r="43" spans="4:10">
      <c r="D43" s="43"/>
      <c r="E43" s="43"/>
      <c r="F43" s="43">
        <v>783.14</v>
      </c>
      <c r="H43" s="50"/>
      <c r="I43" s="50">
        <v>0.129</v>
      </c>
      <c r="J43" s="50"/>
    </row>
    <row r="44" spans="4:10">
      <c r="D44" s="43"/>
      <c r="E44" s="43"/>
      <c r="F44" s="43">
        <v>682.1</v>
      </c>
      <c r="H44" s="50"/>
      <c r="I44" s="50">
        <v>0.11600000000000001</v>
      </c>
      <c r="J44" s="50"/>
    </row>
    <row r="45" spans="4:10">
      <c r="D45" s="43"/>
      <c r="E45" s="43"/>
      <c r="F45" s="43">
        <v>783.95</v>
      </c>
      <c r="H45" s="50"/>
      <c r="I45" s="50">
        <v>0.125</v>
      </c>
      <c r="J45" s="50"/>
    </row>
    <row r="46" spans="4:10">
      <c r="D46" s="43"/>
      <c r="E46" s="43"/>
      <c r="F46" s="43">
        <v>968.19</v>
      </c>
      <c r="H46" s="50"/>
      <c r="I46" s="50">
        <v>0.219</v>
      </c>
      <c r="J46" s="50"/>
    </row>
    <row r="47" spans="4:10">
      <c r="D47" s="43"/>
      <c r="E47" s="43"/>
      <c r="F47" s="43">
        <v>687.29</v>
      </c>
      <c r="H47" s="50"/>
      <c r="I47" s="50">
        <v>0.39500000000000002</v>
      </c>
      <c r="J47" s="50"/>
    </row>
    <row r="48" spans="4:10">
      <c r="D48" s="43"/>
      <c r="E48" s="43"/>
      <c r="F48" s="43">
        <v>438.1</v>
      </c>
      <c r="H48" s="50"/>
      <c r="I48" s="50">
        <v>0.14899999999999999</v>
      </c>
      <c r="J48" s="50"/>
    </row>
    <row r="49" spans="8:10">
      <c r="H49" s="50"/>
      <c r="I49" s="50">
        <v>0.33900000000000002</v>
      </c>
      <c r="J49" s="50"/>
    </row>
    <row r="50" spans="8:10">
      <c r="H50" s="50"/>
      <c r="I50" s="50">
        <v>0.152</v>
      </c>
      <c r="J50" s="50"/>
    </row>
    <row r="51" spans="8:10">
      <c r="H51" s="50"/>
      <c r="I51" s="50">
        <v>0.21929999999999999</v>
      </c>
      <c r="J51" s="50"/>
    </row>
    <row r="52" spans="8:10">
      <c r="H52" s="50"/>
      <c r="I52" s="50">
        <v>0.253</v>
      </c>
      <c r="J52" s="50"/>
    </row>
    <row r="53" spans="8:10">
      <c r="H53" s="50"/>
      <c r="I53" s="50">
        <v>0.249</v>
      </c>
      <c r="J53" s="50"/>
    </row>
    <row r="54" spans="8:10">
      <c r="H54" s="50"/>
      <c r="I54" s="50">
        <v>0.32300000000000001</v>
      </c>
      <c r="J54" s="50"/>
    </row>
    <row r="55" spans="8:10">
      <c r="H55" s="50"/>
      <c r="I55" s="50">
        <v>0.123</v>
      </c>
      <c r="J55" s="50"/>
    </row>
    <row r="56" spans="8:10">
      <c r="H56" s="50"/>
      <c r="I56" s="50">
        <v>0.32300000000000001</v>
      </c>
      <c r="J56" s="50"/>
    </row>
    <row r="57" spans="8:10">
      <c r="H57" s="50"/>
      <c r="I57" s="50">
        <v>0.221</v>
      </c>
      <c r="J57" s="50"/>
    </row>
    <row r="58" spans="8:10">
      <c r="H58" s="50"/>
      <c r="I58" s="50">
        <v>0.193</v>
      </c>
      <c r="J58" s="50"/>
    </row>
    <row r="59" spans="8:10">
      <c r="H59" s="50"/>
      <c r="I59" s="50">
        <v>0.219</v>
      </c>
      <c r="J59" s="50"/>
    </row>
    <row r="60" spans="8:10">
      <c r="H60" s="50"/>
      <c r="I60" s="50">
        <v>0.186</v>
      </c>
      <c r="J60" s="50"/>
    </row>
    <row r="61" spans="8:10">
      <c r="H61" s="50"/>
      <c r="I61" s="50">
        <v>0.13100000000000001</v>
      </c>
      <c r="J61" s="50"/>
    </row>
    <row r="62" spans="8:10">
      <c r="H62" s="50"/>
      <c r="I62" s="50">
        <v>0.115</v>
      </c>
      <c r="J62" s="50"/>
    </row>
    <row r="63" spans="8:10">
      <c r="H63" s="50"/>
      <c r="I63" s="50">
        <v>0.159</v>
      </c>
      <c r="J63" s="50"/>
    </row>
    <row r="64" spans="8:10">
      <c r="H64" s="50"/>
      <c r="I64" s="50">
        <v>0.251</v>
      </c>
      <c r="J64" s="50"/>
    </row>
    <row r="65" spans="8:10">
      <c r="H65" s="50"/>
      <c r="I65" s="50">
        <v>0.125</v>
      </c>
      <c r="J65" s="50"/>
    </row>
    <row r="66" spans="8:10">
      <c r="H66" s="50"/>
      <c r="I66" s="50">
        <v>0.21099999999999999</v>
      </c>
      <c r="J66" s="50"/>
    </row>
    <row r="67" spans="8:10">
      <c r="H67" s="50"/>
      <c r="I67" s="50">
        <v>0.183</v>
      </c>
      <c r="J67" s="50"/>
    </row>
    <row r="68" spans="8:10">
      <c r="H68" s="50"/>
      <c r="I68" s="50">
        <v>0.215</v>
      </c>
      <c r="J68" s="50"/>
    </row>
    <row r="69" spans="8:10">
      <c r="H69" s="50"/>
      <c r="I69" s="50">
        <v>0.152</v>
      </c>
      <c r="J69" s="50"/>
    </row>
    <row r="70" spans="8:10">
      <c r="H70" s="50"/>
      <c r="I70" s="50">
        <v>0.13800000000000001</v>
      </c>
      <c r="J70" s="50"/>
    </row>
    <row r="71" spans="8:10">
      <c r="H71" s="50"/>
      <c r="I71" s="50">
        <v>0.159</v>
      </c>
      <c r="J71" s="50"/>
    </row>
    <row r="72" spans="8:10">
      <c r="H72" s="50"/>
      <c r="I72" s="50">
        <v>0.19500000000000001</v>
      </c>
      <c r="J72" s="50"/>
    </row>
  </sheetData>
  <mergeCells count="1">
    <mergeCell ref="D2:F2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9"/>
  <sheetViews>
    <sheetView topLeftCell="A2" workbookViewId="0">
      <selection activeCell="A2" sqref="A2"/>
    </sheetView>
  </sheetViews>
  <sheetFormatPr defaultRowHeight="15"/>
  <cols>
    <col min="1" max="1" width="13.42578125" customWidth="1"/>
  </cols>
  <sheetData>
    <row r="2" spans="1:21">
      <c r="A2" s="1" t="s">
        <v>749</v>
      </c>
    </row>
    <row r="4" spans="1:21">
      <c r="B4" s="172" t="s">
        <v>154</v>
      </c>
      <c r="C4" s="172"/>
      <c r="D4" s="172"/>
      <c r="E4" s="172"/>
      <c r="F4" s="172"/>
      <c r="G4" s="172" t="s">
        <v>155</v>
      </c>
      <c r="H4" s="172"/>
      <c r="I4" s="172"/>
      <c r="J4" s="172"/>
      <c r="K4" s="172"/>
      <c r="L4" s="172" t="s">
        <v>156</v>
      </c>
      <c r="M4" s="172"/>
      <c r="N4" s="172"/>
      <c r="O4" s="172"/>
      <c r="P4" s="172"/>
      <c r="Q4" s="172" t="s">
        <v>424</v>
      </c>
      <c r="R4" s="172"/>
      <c r="S4" s="172"/>
      <c r="T4" s="172"/>
      <c r="U4" s="172"/>
    </row>
    <row r="5" spans="1:21">
      <c r="B5" s="7" t="s">
        <v>15</v>
      </c>
      <c r="C5" s="7" t="s">
        <v>31</v>
      </c>
      <c r="D5" s="7" t="s">
        <v>160</v>
      </c>
      <c r="E5" s="7" t="s">
        <v>161</v>
      </c>
      <c r="F5" s="7" t="s">
        <v>162</v>
      </c>
      <c r="G5" s="7" t="s">
        <v>15</v>
      </c>
      <c r="H5" s="7" t="s">
        <v>31</v>
      </c>
      <c r="I5" s="7" t="s">
        <v>160</v>
      </c>
      <c r="J5" s="7" t="s">
        <v>161</v>
      </c>
      <c r="K5" s="7" t="s">
        <v>162</v>
      </c>
      <c r="L5" s="7" t="s">
        <v>15</v>
      </c>
      <c r="M5" s="7" t="s">
        <v>31</v>
      </c>
      <c r="N5" s="7" t="s">
        <v>160</v>
      </c>
      <c r="O5" s="7" t="s">
        <v>161</v>
      </c>
      <c r="P5" s="7" t="s">
        <v>162</v>
      </c>
      <c r="Q5" s="7" t="s">
        <v>15</v>
      </c>
      <c r="R5" s="7" t="s">
        <v>31</v>
      </c>
      <c r="S5" s="7" t="s">
        <v>160</v>
      </c>
      <c r="T5" s="7" t="s">
        <v>161</v>
      </c>
      <c r="U5" s="7" t="s">
        <v>162</v>
      </c>
    </row>
    <row r="6" spans="1:21">
      <c r="A6" s="1" t="s">
        <v>169</v>
      </c>
      <c r="B6" s="119">
        <v>0</v>
      </c>
      <c r="C6" s="119">
        <v>0</v>
      </c>
      <c r="D6" s="119">
        <v>0</v>
      </c>
      <c r="E6" s="119">
        <v>1</v>
      </c>
      <c r="F6" s="119">
        <v>1</v>
      </c>
      <c r="G6" s="119">
        <v>1</v>
      </c>
      <c r="H6" s="119">
        <v>1</v>
      </c>
      <c r="I6" s="119">
        <v>0</v>
      </c>
      <c r="J6" s="119">
        <v>0</v>
      </c>
      <c r="K6" s="119">
        <v>0</v>
      </c>
      <c r="L6" s="119">
        <v>0</v>
      </c>
      <c r="M6" s="119">
        <v>0</v>
      </c>
      <c r="N6" s="119">
        <v>0</v>
      </c>
      <c r="O6" s="119">
        <v>0</v>
      </c>
      <c r="P6" s="119">
        <v>0</v>
      </c>
      <c r="Q6" s="119">
        <v>3</v>
      </c>
      <c r="R6" s="119">
        <v>3</v>
      </c>
      <c r="S6" s="119">
        <v>3</v>
      </c>
      <c r="T6" s="119">
        <v>3</v>
      </c>
      <c r="U6" s="119">
        <v>2</v>
      </c>
    </row>
    <row r="7" spans="1:21">
      <c r="A7" s="1" t="s">
        <v>175</v>
      </c>
      <c r="B7" s="119">
        <v>1</v>
      </c>
      <c r="C7" s="119">
        <v>1</v>
      </c>
      <c r="D7" s="119">
        <v>1</v>
      </c>
      <c r="E7" s="119">
        <v>2</v>
      </c>
      <c r="F7" s="119">
        <v>2</v>
      </c>
      <c r="G7" s="119">
        <v>2</v>
      </c>
      <c r="H7" s="119">
        <v>2</v>
      </c>
      <c r="I7" s="119">
        <v>2</v>
      </c>
      <c r="J7" s="119">
        <v>1</v>
      </c>
      <c r="K7" s="119">
        <v>2</v>
      </c>
      <c r="L7" s="119">
        <v>0</v>
      </c>
      <c r="M7" s="119">
        <v>0</v>
      </c>
      <c r="N7" s="119">
        <v>0</v>
      </c>
      <c r="O7" s="119">
        <v>0</v>
      </c>
      <c r="P7" s="119">
        <v>0</v>
      </c>
      <c r="Q7" s="119">
        <v>2</v>
      </c>
      <c r="R7" s="119">
        <v>2</v>
      </c>
      <c r="S7" s="119">
        <v>3</v>
      </c>
      <c r="T7" s="119">
        <v>2</v>
      </c>
      <c r="U7" s="119">
        <v>2</v>
      </c>
    </row>
    <row r="8" spans="1:21">
      <c r="A8" s="1" t="s">
        <v>176</v>
      </c>
      <c r="B8" s="119">
        <v>2</v>
      </c>
      <c r="C8" s="119">
        <v>2</v>
      </c>
      <c r="D8" s="119">
        <v>1</v>
      </c>
      <c r="E8" s="119">
        <v>2</v>
      </c>
      <c r="F8" s="119">
        <v>2</v>
      </c>
      <c r="G8" s="119">
        <v>2</v>
      </c>
      <c r="H8" s="119">
        <v>2</v>
      </c>
      <c r="I8" s="119">
        <v>2</v>
      </c>
      <c r="J8" s="119">
        <v>2</v>
      </c>
      <c r="K8" s="119">
        <v>3</v>
      </c>
      <c r="L8" s="119">
        <v>0</v>
      </c>
      <c r="M8" s="119">
        <v>0</v>
      </c>
      <c r="N8" s="119">
        <v>0</v>
      </c>
      <c r="O8" s="119">
        <v>0</v>
      </c>
      <c r="P8" s="119">
        <v>0</v>
      </c>
      <c r="Q8" s="119">
        <v>1</v>
      </c>
      <c r="R8" s="119">
        <v>2</v>
      </c>
      <c r="S8" s="119">
        <v>2</v>
      </c>
      <c r="T8" s="119">
        <v>1</v>
      </c>
      <c r="U8" s="119">
        <v>2</v>
      </c>
    </row>
    <row r="9" spans="1:21">
      <c r="A9" s="1" t="s">
        <v>177</v>
      </c>
      <c r="B9" s="119">
        <v>3</v>
      </c>
      <c r="C9" s="119">
        <v>3</v>
      </c>
      <c r="D9" s="119">
        <v>3</v>
      </c>
      <c r="E9" s="119">
        <v>4</v>
      </c>
      <c r="F9" s="119">
        <v>3</v>
      </c>
      <c r="G9" s="119">
        <v>4</v>
      </c>
      <c r="H9" s="119">
        <v>3</v>
      </c>
      <c r="I9" s="119">
        <v>4</v>
      </c>
      <c r="J9" s="119">
        <v>3</v>
      </c>
      <c r="K9" s="119">
        <v>3</v>
      </c>
      <c r="L9" s="119">
        <v>3</v>
      </c>
      <c r="M9" s="119">
        <v>3</v>
      </c>
      <c r="N9" s="119">
        <v>3</v>
      </c>
      <c r="O9" s="119">
        <v>3</v>
      </c>
      <c r="P9" s="119">
        <v>2</v>
      </c>
      <c r="Q9" s="119">
        <v>0</v>
      </c>
      <c r="R9" s="119">
        <v>0</v>
      </c>
      <c r="S9" s="119">
        <v>0</v>
      </c>
      <c r="T9" s="119">
        <v>0</v>
      </c>
      <c r="U9" s="119">
        <v>0</v>
      </c>
    </row>
  </sheetData>
  <mergeCells count="4">
    <mergeCell ref="B4:F4"/>
    <mergeCell ref="G4:K4"/>
    <mergeCell ref="L4:P4"/>
    <mergeCell ref="Q4:U4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4"/>
  <sheetViews>
    <sheetView topLeftCell="A5" workbookViewId="0"/>
  </sheetViews>
  <sheetFormatPr defaultRowHeight="15"/>
  <cols>
    <col min="1" max="1" width="19.28515625" customWidth="1"/>
    <col min="2" max="2" width="12.28515625" customWidth="1"/>
    <col min="3" max="3" width="11.5703125" customWidth="1"/>
  </cols>
  <sheetData>
    <row r="1" spans="1:8">
      <c r="A1" s="1" t="s">
        <v>750</v>
      </c>
    </row>
    <row r="4" spans="1:8">
      <c r="A4" s="48" t="s">
        <v>425</v>
      </c>
      <c r="B4" s="49"/>
      <c r="C4" s="49"/>
      <c r="D4" s="49"/>
      <c r="E4" s="49"/>
      <c r="F4" s="49"/>
      <c r="G4" s="49"/>
      <c r="H4" s="49"/>
    </row>
    <row r="5" spans="1:8">
      <c r="A5" s="49"/>
      <c r="B5" s="49"/>
      <c r="C5" s="49"/>
      <c r="D5" s="49"/>
      <c r="E5" s="49"/>
      <c r="F5" s="49"/>
      <c r="G5" s="49"/>
      <c r="H5" s="49"/>
    </row>
    <row r="6" spans="1:8" ht="15.75">
      <c r="A6" s="41" t="s">
        <v>427</v>
      </c>
      <c r="B6" s="177" t="s">
        <v>428</v>
      </c>
      <c r="C6" s="177"/>
      <c r="D6" s="177"/>
      <c r="E6" s="177"/>
      <c r="F6" s="177"/>
      <c r="G6" s="177"/>
      <c r="H6" s="177"/>
    </row>
    <row r="7" spans="1:8" ht="15.75">
      <c r="A7" s="42" t="s">
        <v>169</v>
      </c>
      <c r="B7" s="43">
        <v>0.02</v>
      </c>
      <c r="C7" s="43">
        <v>0</v>
      </c>
      <c r="D7" s="43">
        <v>0.04</v>
      </c>
      <c r="E7" s="43">
        <v>0.08</v>
      </c>
      <c r="F7" s="43">
        <v>0.01</v>
      </c>
      <c r="G7" s="42"/>
      <c r="H7" s="42"/>
    </row>
    <row r="8" spans="1:8" ht="15.75">
      <c r="A8" s="42" t="s">
        <v>175</v>
      </c>
      <c r="B8" s="43">
        <v>0.02</v>
      </c>
      <c r="C8" s="43">
        <v>0.03</v>
      </c>
      <c r="D8" s="43">
        <v>0.01</v>
      </c>
      <c r="E8" s="43">
        <v>0</v>
      </c>
      <c r="F8" s="43">
        <v>0</v>
      </c>
      <c r="G8" s="42"/>
      <c r="H8" s="42"/>
    </row>
    <row r="9" spans="1:8" ht="15.75">
      <c r="A9" s="42" t="s">
        <v>426</v>
      </c>
      <c r="B9" s="43">
        <v>0.98</v>
      </c>
      <c r="C9" s="43">
        <v>0.97</v>
      </c>
      <c r="D9" s="43">
        <v>0.8</v>
      </c>
      <c r="E9" s="43">
        <v>0.98</v>
      </c>
      <c r="F9" s="43">
        <v>0.91</v>
      </c>
      <c r="G9" s="42"/>
      <c r="H9" s="42"/>
    </row>
    <row r="10" spans="1:8" ht="15.75">
      <c r="A10" s="42" t="s">
        <v>177</v>
      </c>
      <c r="B10" s="43">
        <v>0.83</v>
      </c>
      <c r="C10" s="43">
        <v>0.97</v>
      </c>
      <c r="D10" s="43">
        <v>0.85</v>
      </c>
      <c r="E10" s="43">
        <v>0.73</v>
      </c>
      <c r="F10" s="43">
        <v>0.84</v>
      </c>
      <c r="G10" s="42"/>
      <c r="H10" s="42"/>
    </row>
    <row r="11" spans="1:8" ht="15.75">
      <c r="A11" s="42"/>
      <c r="B11" s="42"/>
      <c r="C11" s="42"/>
      <c r="D11" s="42"/>
      <c r="E11" s="42"/>
      <c r="F11" s="42"/>
      <c r="G11" s="42"/>
      <c r="H11" s="42"/>
    </row>
    <row r="12" spans="1:8" ht="15.75">
      <c r="A12" s="42"/>
      <c r="B12" s="42"/>
      <c r="C12" s="42"/>
      <c r="D12" s="42"/>
      <c r="E12" s="42"/>
      <c r="F12" s="42"/>
      <c r="G12" s="42"/>
      <c r="H12" s="42"/>
    </row>
    <row r="13" spans="1:8" ht="15.75">
      <c r="A13" s="48" t="s">
        <v>429</v>
      </c>
      <c r="B13" s="42"/>
      <c r="C13" s="42"/>
      <c r="D13" s="42"/>
      <c r="E13" s="42"/>
      <c r="F13" s="42"/>
      <c r="G13" s="42"/>
      <c r="H13" s="42"/>
    </row>
    <row r="14" spans="1:8" ht="15.75">
      <c r="A14" s="49"/>
      <c r="B14" s="42"/>
      <c r="C14" s="42"/>
      <c r="D14" s="42"/>
      <c r="E14" s="42"/>
      <c r="F14" s="42"/>
      <c r="G14" s="42"/>
      <c r="H14" s="42"/>
    </row>
    <row r="15" spans="1:8" ht="15.75">
      <c r="A15" s="41" t="s">
        <v>427</v>
      </c>
      <c r="B15" s="177" t="s">
        <v>432</v>
      </c>
      <c r="C15" s="177"/>
      <c r="D15" s="177"/>
      <c r="E15" s="177"/>
      <c r="F15" s="177"/>
      <c r="G15" s="177"/>
      <c r="H15" s="177"/>
    </row>
    <row r="16" spans="1:8" ht="15.75">
      <c r="A16" s="42" t="s">
        <v>169</v>
      </c>
      <c r="B16" s="43">
        <v>0.98</v>
      </c>
      <c r="C16" s="43">
        <v>0.93</v>
      </c>
      <c r="D16" s="43">
        <v>0.94</v>
      </c>
      <c r="E16" s="43">
        <v>0.98</v>
      </c>
      <c r="F16" s="43">
        <v>0.99</v>
      </c>
      <c r="G16" s="42"/>
      <c r="H16" s="42"/>
    </row>
    <row r="17" spans="1:15" ht="15.75">
      <c r="A17" s="42" t="s">
        <v>175</v>
      </c>
      <c r="B17" s="43">
        <v>0.47</v>
      </c>
      <c r="C17" s="43">
        <v>0.67</v>
      </c>
      <c r="D17" s="43">
        <v>0.56999999999999995</v>
      </c>
      <c r="E17" s="43">
        <v>0.56999999999999995</v>
      </c>
      <c r="F17" s="43">
        <v>0.64</v>
      </c>
      <c r="G17" s="42"/>
      <c r="H17" s="42"/>
    </row>
    <row r="18" spans="1:15" ht="15.75">
      <c r="A18" s="42" t="s">
        <v>426</v>
      </c>
      <c r="B18" s="43">
        <v>0.09</v>
      </c>
      <c r="C18" s="43">
        <v>0.12</v>
      </c>
      <c r="D18" s="43">
        <v>0.22</v>
      </c>
      <c r="E18" s="43">
        <v>0.13</v>
      </c>
      <c r="F18" s="43">
        <v>0.15</v>
      </c>
      <c r="G18" s="42"/>
      <c r="H18" s="42"/>
    </row>
    <row r="19" spans="1:15" ht="15.75">
      <c r="A19" s="42" t="s">
        <v>177</v>
      </c>
      <c r="B19" s="43">
        <v>0.05</v>
      </c>
      <c r="C19" s="43">
        <v>0.09</v>
      </c>
      <c r="D19" s="43">
        <v>0.02</v>
      </c>
      <c r="E19" s="43">
        <v>3.1E-2</v>
      </c>
      <c r="F19" s="43">
        <v>0.08</v>
      </c>
      <c r="G19" s="42"/>
      <c r="H19" s="42"/>
    </row>
    <row r="20" spans="1:15" ht="15.75">
      <c r="B20" s="42"/>
      <c r="C20" s="42"/>
      <c r="D20" s="42"/>
      <c r="E20" s="42"/>
      <c r="F20" s="42"/>
      <c r="G20" s="42"/>
      <c r="H20" s="42"/>
    </row>
    <row r="21" spans="1:15" ht="15.75">
      <c r="B21" s="42"/>
      <c r="C21" s="42"/>
      <c r="D21" s="42"/>
      <c r="E21" s="42"/>
      <c r="F21" s="42"/>
      <c r="G21" s="42"/>
      <c r="H21" s="42"/>
    </row>
    <row r="22" spans="1:15" ht="15.75">
      <c r="A22" s="48" t="s">
        <v>430</v>
      </c>
      <c r="B22" s="42"/>
      <c r="C22" s="42"/>
      <c r="D22" s="42"/>
      <c r="E22" s="42"/>
      <c r="F22" s="42"/>
      <c r="G22" s="42"/>
      <c r="H22" s="42"/>
    </row>
    <row r="23" spans="1:15" ht="15.75">
      <c r="A23" s="49"/>
      <c r="B23" s="42"/>
      <c r="C23" s="42"/>
      <c r="D23" s="42"/>
      <c r="E23" s="42"/>
      <c r="F23" s="42"/>
      <c r="G23" s="42"/>
      <c r="H23" s="42"/>
    </row>
    <row r="24" spans="1:15" ht="15.75">
      <c r="A24" s="41" t="s">
        <v>427</v>
      </c>
      <c r="B24" s="177" t="s">
        <v>431</v>
      </c>
      <c r="C24" s="177"/>
      <c r="D24" s="177"/>
      <c r="E24" s="177"/>
      <c r="F24" s="177"/>
      <c r="G24" s="177"/>
      <c r="H24" s="177"/>
      <c r="K24" s="119"/>
      <c r="L24" s="119"/>
      <c r="M24" s="119"/>
      <c r="N24" s="119"/>
      <c r="O24" s="119"/>
    </row>
    <row r="25" spans="1:15" ht="15.75">
      <c r="A25" s="42" t="s">
        <v>169</v>
      </c>
      <c r="B25" s="43">
        <v>0.97</v>
      </c>
      <c r="C25" s="43">
        <v>0.98</v>
      </c>
      <c r="D25" s="43">
        <v>0.88</v>
      </c>
      <c r="E25" s="43">
        <v>0.89</v>
      </c>
      <c r="F25" s="43">
        <v>0.98</v>
      </c>
      <c r="G25" s="42"/>
      <c r="H25" s="42"/>
      <c r="K25" s="119"/>
      <c r="L25" s="119"/>
      <c r="M25" s="119"/>
      <c r="N25" s="119"/>
      <c r="O25" s="119"/>
    </row>
    <row r="26" spans="1:15" ht="15.75">
      <c r="A26" s="42" t="s">
        <v>175</v>
      </c>
      <c r="B26" s="43">
        <v>0.54</v>
      </c>
      <c r="C26" s="43">
        <v>0.45</v>
      </c>
      <c r="D26" s="43">
        <v>0.55000000000000004</v>
      </c>
      <c r="E26" s="43">
        <v>0.36</v>
      </c>
      <c r="F26" s="43">
        <v>0.65</v>
      </c>
      <c r="G26" s="42"/>
      <c r="H26" s="42"/>
      <c r="K26" s="119"/>
      <c r="L26" s="119"/>
      <c r="M26" s="119"/>
      <c r="N26" s="119"/>
      <c r="O26" s="119"/>
    </row>
    <row r="27" spans="1:15" ht="15.75">
      <c r="A27" s="42" t="s">
        <v>426</v>
      </c>
      <c r="B27" s="43">
        <v>0.03</v>
      </c>
      <c r="C27" s="43">
        <v>0.09</v>
      </c>
      <c r="D27" s="43">
        <v>0.06</v>
      </c>
      <c r="E27" s="43">
        <v>0.08</v>
      </c>
      <c r="F27" s="43">
        <v>0.09</v>
      </c>
      <c r="G27" s="42"/>
      <c r="H27" s="42"/>
      <c r="K27" s="119"/>
      <c r="L27" s="119"/>
      <c r="M27" s="119"/>
      <c r="N27" s="119"/>
      <c r="O27" s="119"/>
    </row>
    <row r="28" spans="1:15" ht="15.75">
      <c r="A28" s="42" t="s">
        <v>177</v>
      </c>
      <c r="B28" s="43">
        <v>0.02</v>
      </c>
      <c r="C28" s="43">
        <v>0.09</v>
      </c>
      <c r="D28" s="43">
        <v>0.08</v>
      </c>
      <c r="E28" s="43">
        <v>0.05</v>
      </c>
      <c r="F28" s="43">
        <v>0.03</v>
      </c>
      <c r="G28" s="42"/>
      <c r="H28" s="42"/>
    </row>
    <row r="29" spans="1:15" ht="15.75">
      <c r="A29" s="42"/>
      <c r="B29" s="43"/>
      <c r="C29" s="43"/>
      <c r="D29" s="43"/>
      <c r="E29" s="43"/>
      <c r="F29" s="43"/>
      <c r="G29" s="42"/>
      <c r="H29" s="42"/>
    </row>
    <row r="30" spans="1:15" ht="15.75">
      <c r="A30" s="42"/>
      <c r="B30" s="43"/>
      <c r="C30" s="43"/>
      <c r="D30" s="43"/>
      <c r="E30" s="43"/>
      <c r="F30" s="43"/>
      <c r="G30" s="42"/>
      <c r="H30" s="42"/>
    </row>
    <row r="31" spans="1:15" ht="15.75">
      <c r="A31" s="48"/>
      <c r="B31" s="42"/>
      <c r="C31" s="42"/>
      <c r="D31" s="42"/>
      <c r="E31" s="42"/>
      <c r="F31" s="42"/>
      <c r="G31" s="42"/>
      <c r="H31" s="42"/>
    </row>
    <row r="32" spans="1:15" ht="15.75">
      <c r="A32" s="48"/>
      <c r="B32" s="41"/>
      <c r="C32" s="42"/>
      <c r="D32" s="42"/>
      <c r="E32" s="42"/>
      <c r="F32" s="42"/>
      <c r="G32" s="42"/>
      <c r="H32" s="42"/>
    </row>
    <row r="33" spans="1:19">
      <c r="A33" s="70"/>
      <c r="B33" s="175"/>
      <c r="C33" s="175"/>
      <c r="D33" s="175"/>
      <c r="E33" s="21"/>
      <c r="F33" s="175"/>
      <c r="G33" s="175"/>
      <c r="H33" s="175"/>
      <c r="I33" s="21"/>
      <c r="J33" s="100"/>
      <c r="K33" s="21"/>
      <c r="L33" s="21"/>
      <c r="M33" s="21"/>
      <c r="N33" s="21"/>
      <c r="O33" s="21"/>
      <c r="P33" s="21"/>
      <c r="Q33" s="21"/>
      <c r="R33" s="21"/>
      <c r="S33" s="21"/>
    </row>
    <row r="34" spans="1:19"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</row>
    <row r="35" spans="1:19">
      <c r="A35" s="8"/>
      <c r="B35" s="8"/>
      <c r="C35" s="8"/>
      <c r="D35" s="8"/>
      <c r="E35" s="62"/>
      <c r="F35" s="8"/>
      <c r="G35" s="8"/>
      <c r="H35" s="8"/>
      <c r="I35" s="62"/>
      <c r="J35" s="62"/>
      <c r="K35" s="62"/>
      <c r="L35" s="62"/>
      <c r="M35" s="62"/>
      <c r="N35" s="62"/>
      <c r="O35" s="8"/>
      <c r="P35" s="8"/>
      <c r="Q35" s="8"/>
      <c r="R35" s="8"/>
      <c r="S35" s="8"/>
    </row>
    <row r="36" spans="1:19">
      <c r="A36" s="8"/>
      <c r="B36" s="8"/>
      <c r="C36" s="8"/>
      <c r="D36" s="8"/>
      <c r="E36" s="62"/>
      <c r="F36" s="8"/>
      <c r="G36" s="8"/>
      <c r="H36" s="8"/>
      <c r="I36" s="62"/>
      <c r="J36" s="62"/>
      <c r="K36" s="62"/>
      <c r="L36" s="62"/>
      <c r="M36" s="62"/>
      <c r="N36" s="62"/>
      <c r="O36" s="8"/>
      <c r="P36" s="8"/>
      <c r="Q36" s="8"/>
      <c r="R36" s="8"/>
      <c r="S36" s="8"/>
    </row>
    <row r="37" spans="1:19">
      <c r="A37" s="8"/>
      <c r="B37" s="8"/>
      <c r="C37" s="8"/>
      <c r="D37" s="8"/>
      <c r="E37" s="62"/>
      <c r="F37" s="8"/>
      <c r="G37" s="8"/>
      <c r="H37" s="8"/>
      <c r="I37" s="62"/>
      <c r="J37" s="62"/>
      <c r="K37" s="62"/>
      <c r="L37" s="62"/>
      <c r="M37" s="62"/>
      <c r="N37" s="62"/>
      <c r="O37" s="8"/>
      <c r="P37" s="8"/>
      <c r="Q37" s="8"/>
      <c r="R37" s="8"/>
      <c r="S37" s="8"/>
    </row>
    <row r="38" spans="1:19">
      <c r="A38" s="8"/>
      <c r="B38" s="8"/>
      <c r="C38" s="8"/>
      <c r="D38" s="8"/>
      <c r="E38" s="62"/>
      <c r="F38" s="8"/>
      <c r="G38" s="8"/>
      <c r="H38" s="8"/>
      <c r="I38" s="62"/>
      <c r="J38" s="62"/>
      <c r="K38" s="62"/>
      <c r="L38" s="62"/>
      <c r="M38" s="62"/>
      <c r="N38" s="62"/>
      <c r="O38" s="8"/>
      <c r="P38" s="8"/>
      <c r="Q38" s="8"/>
      <c r="R38" s="8"/>
      <c r="S38" s="8"/>
    </row>
    <row r="41" spans="1:19" ht="15.75">
      <c r="A41" s="48"/>
      <c r="B41" s="41"/>
      <c r="C41" s="42"/>
      <c r="D41" s="42"/>
      <c r="E41" s="42"/>
      <c r="F41" s="42"/>
      <c r="G41" s="42"/>
      <c r="H41" s="42"/>
    </row>
    <row r="42" spans="1:19">
      <c r="A42" s="70"/>
      <c r="B42" s="175"/>
      <c r="C42" s="175"/>
      <c r="D42" s="175"/>
      <c r="E42" s="21"/>
      <c r="F42" s="175"/>
      <c r="G42" s="175"/>
      <c r="H42" s="175"/>
      <c r="I42" s="21"/>
      <c r="J42" s="100"/>
      <c r="K42" s="21"/>
      <c r="L42" s="21"/>
      <c r="M42" s="21"/>
      <c r="N42" s="21"/>
      <c r="O42" s="21"/>
      <c r="P42" s="21"/>
      <c r="Q42" s="21"/>
      <c r="R42" s="21"/>
      <c r="S42" s="21"/>
    </row>
    <row r="43" spans="1:19"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</row>
    <row r="44" spans="1:19">
      <c r="A44" s="8"/>
    </row>
    <row r="45" spans="1:19">
      <c r="A45" s="8"/>
    </row>
    <row r="46" spans="1:19">
      <c r="A46" s="8"/>
    </row>
    <row r="47" spans="1:19">
      <c r="A47" s="8"/>
      <c r="B47" s="8"/>
      <c r="C47" s="8"/>
      <c r="D47" s="8"/>
      <c r="E47" s="62"/>
      <c r="F47" s="8"/>
      <c r="G47" s="8"/>
      <c r="H47" s="8"/>
      <c r="I47" s="62"/>
      <c r="J47" s="62"/>
      <c r="K47" s="62"/>
      <c r="L47" s="62"/>
      <c r="M47" s="62"/>
      <c r="N47" s="62"/>
      <c r="O47" s="8"/>
      <c r="P47" s="8"/>
      <c r="Q47" s="8"/>
      <c r="R47" s="8"/>
      <c r="S47" s="8"/>
    </row>
    <row r="50" spans="1:19" ht="15.75">
      <c r="A50" s="48"/>
      <c r="B50" s="41"/>
      <c r="C50" s="42"/>
      <c r="D50" s="42"/>
      <c r="E50" s="42"/>
      <c r="F50" s="42"/>
      <c r="G50" s="42"/>
      <c r="H50" s="42"/>
    </row>
    <row r="51" spans="1:19">
      <c r="A51" s="70"/>
      <c r="B51" s="175"/>
      <c r="C51" s="175"/>
      <c r="D51" s="175"/>
      <c r="E51" s="21"/>
      <c r="F51" s="175"/>
      <c r="G51" s="175"/>
      <c r="H51" s="175"/>
      <c r="I51" s="21"/>
      <c r="J51" s="100"/>
      <c r="K51" s="21"/>
      <c r="L51" s="21"/>
      <c r="M51" s="21"/>
      <c r="N51" s="21"/>
      <c r="O51" s="21"/>
      <c r="P51" s="21"/>
      <c r="Q51" s="21"/>
      <c r="R51" s="21"/>
      <c r="S51" s="21"/>
    </row>
    <row r="52" spans="1:19"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</row>
    <row r="53" spans="1:19">
      <c r="A53" s="8"/>
    </row>
    <row r="54" spans="1:19">
      <c r="A54" s="8"/>
    </row>
    <row r="55" spans="1:19">
      <c r="A55" s="8"/>
    </row>
    <row r="56" spans="1:19">
      <c r="A56" s="8"/>
      <c r="B56" s="8"/>
      <c r="C56" s="8"/>
      <c r="D56" s="8"/>
      <c r="E56" s="62"/>
      <c r="F56" s="8"/>
      <c r="G56" s="8"/>
      <c r="H56" s="8"/>
      <c r="I56" s="62"/>
      <c r="J56" s="62"/>
      <c r="K56" s="62"/>
      <c r="L56" s="62"/>
      <c r="M56" s="62"/>
      <c r="N56" s="62"/>
      <c r="O56" s="8"/>
      <c r="P56" s="8"/>
      <c r="Q56" s="8"/>
      <c r="R56" s="8"/>
      <c r="S56" s="8"/>
    </row>
    <row r="59" spans="1:19" ht="15.75">
      <c r="A59" s="48"/>
      <c r="B59" s="41"/>
      <c r="C59" s="42"/>
      <c r="D59" s="42"/>
      <c r="E59" s="42"/>
      <c r="F59" s="42"/>
      <c r="G59" s="42"/>
      <c r="H59" s="42"/>
    </row>
    <row r="60" spans="1:19">
      <c r="A60" s="70"/>
      <c r="B60" s="175"/>
      <c r="C60" s="175"/>
      <c r="D60" s="175"/>
      <c r="E60" s="21"/>
      <c r="F60" s="175"/>
      <c r="G60" s="175"/>
      <c r="H60" s="175"/>
      <c r="I60" s="21"/>
      <c r="J60" s="100"/>
      <c r="K60" s="21"/>
      <c r="L60" s="21"/>
      <c r="M60" s="21"/>
      <c r="N60" s="21"/>
      <c r="O60" s="21"/>
      <c r="P60" s="21"/>
      <c r="Q60" s="21"/>
      <c r="R60" s="21"/>
      <c r="S60" s="21"/>
    </row>
    <row r="61" spans="1:19"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</row>
    <row r="62" spans="1:19">
      <c r="A62" s="8"/>
    </row>
    <row r="63" spans="1:19">
      <c r="A63" s="8"/>
    </row>
    <row r="64" spans="1:19">
      <c r="A64" s="8"/>
    </row>
    <row r="65" spans="1:19">
      <c r="A65" s="8"/>
      <c r="B65" s="8"/>
      <c r="C65" s="8"/>
      <c r="D65" s="8"/>
      <c r="E65" s="62"/>
      <c r="F65" s="8"/>
      <c r="G65" s="8"/>
      <c r="H65" s="8"/>
      <c r="I65" s="62"/>
      <c r="J65" s="62"/>
      <c r="K65" s="62"/>
      <c r="L65" s="62"/>
      <c r="M65" s="62"/>
      <c r="N65" s="62"/>
      <c r="O65" s="8"/>
      <c r="P65" s="8"/>
      <c r="Q65" s="8"/>
      <c r="R65" s="8"/>
      <c r="S65" s="8"/>
    </row>
    <row r="68" spans="1:19" ht="15.75">
      <c r="A68" s="41"/>
      <c r="B68" s="41"/>
      <c r="C68" s="42"/>
      <c r="D68" s="42"/>
      <c r="E68" s="42"/>
      <c r="F68" s="42"/>
      <c r="G68" s="42"/>
      <c r="H68" s="42"/>
    </row>
    <row r="69" spans="1:19">
      <c r="A69" s="70"/>
      <c r="B69" s="175"/>
      <c r="C69" s="175"/>
      <c r="D69" s="175"/>
      <c r="E69" s="21"/>
      <c r="F69" s="175"/>
      <c r="G69" s="175"/>
      <c r="H69" s="175"/>
      <c r="I69" s="21"/>
      <c r="J69" s="100"/>
      <c r="K69" s="21"/>
      <c r="L69" s="21"/>
      <c r="M69" s="21"/>
      <c r="N69" s="21"/>
      <c r="O69" s="21"/>
      <c r="P69" s="21"/>
      <c r="Q69" s="21"/>
      <c r="R69" s="21"/>
      <c r="S69" s="21"/>
    </row>
    <row r="70" spans="1:19"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</row>
    <row r="71" spans="1:19">
      <c r="A71" s="8"/>
    </row>
    <row r="72" spans="1:19">
      <c r="A72" s="8"/>
    </row>
    <row r="73" spans="1:19">
      <c r="A73" s="8"/>
    </row>
    <row r="74" spans="1:19">
      <c r="A74" s="8"/>
      <c r="B74" s="8"/>
      <c r="C74" s="8"/>
      <c r="D74" s="8"/>
      <c r="E74" s="62"/>
      <c r="F74" s="8"/>
      <c r="G74" s="8"/>
      <c r="H74" s="8"/>
      <c r="I74" s="62"/>
      <c r="J74" s="62"/>
      <c r="K74" s="62"/>
      <c r="L74" s="62"/>
      <c r="M74" s="62"/>
      <c r="N74" s="62"/>
      <c r="O74" s="8"/>
      <c r="P74" s="8"/>
      <c r="Q74" s="8"/>
      <c r="R74" s="8"/>
      <c r="S74" s="8"/>
    </row>
  </sheetData>
  <mergeCells count="13">
    <mergeCell ref="B42:D42"/>
    <mergeCell ref="F42:H42"/>
    <mergeCell ref="B6:H6"/>
    <mergeCell ref="B15:H15"/>
    <mergeCell ref="B24:H24"/>
    <mergeCell ref="B33:D33"/>
    <mergeCell ref="F33:H33"/>
    <mergeCell ref="B51:D51"/>
    <mergeCell ref="F51:H51"/>
    <mergeCell ref="B60:D60"/>
    <mergeCell ref="F60:H60"/>
    <mergeCell ref="B69:D69"/>
    <mergeCell ref="F69:H69"/>
  </mergeCells>
  <pageMargins left="0.7" right="0.7" top="0.75" bottom="0.75" header="0.3" footer="0.3"/>
  <pageSetup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Views>
    <sheetView topLeftCell="A26" workbookViewId="0">
      <selection activeCell="F40" sqref="F40:H40"/>
    </sheetView>
  </sheetViews>
  <sheetFormatPr defaultRowHeight="15"/>
  <cols>
    <col min="1" max="1" width="19.28515625" customWidth="1"/>
    <col min="2" max="2" width="12.28515625" customWidth="1"/>
    <col min="3" max="3" width="11.5703125" customWidth="1"/>
  </cols>
  <sheetData>
    <row r="1" spans="1:19" ht="15.75">
      <c r="A1" s="42"/>
      <c r="B1" s="43"/>
      <c r="C1" s="43"/>
      <c r="D1" s="43"/>
      <c r="E1" s="43"/>
      <c r="F1" s="43"/>
      <c r="G1" s="42"/>
      <c r="H1" s="42"/>
    </row>
    <row r="2" spans="1:19" ht="15.75">
      <c r="A2" s="48" t="s">
        <v>433</v>
      </c>
      <c r="B2" s="42"/>
      <c r="C2" s="41" t="s">
        <v>444</v>
      </c>
      <c r="D2" s="41"/>
      <c r="E2" s="41"/>
      <c r="F2" s="41"/>
      <c r="G2" s="41"/>
      <c r="H2" s="42"/>
    </row>
    <row r="3" spans="1:19" ht="15.75">
      <c r="A3" s="48"/>
      <c r="B3" s="41" t="s">
        <v>435</v>
      </c>
      <c r="C3" s="42"/>
      <c r="D3" s="42"/>
      <c r="E3" s="42"/>
      <c r="F3" s="42"/>
      <c r="G3" s="42"/>
      <c r="H3" s="42"/>
    </row>
    <row r="4" spans="1:19">
      <c r="A4" s="70" t="s">
        <v>434</v>
      </c>
      <c r="B4" s="175" t="s">
        <v>181</v>
      </c>
      <c r="C4" s="175"/>
      <c r="D4" s="175"/>
      <c r="E4" s="21"/>
      <c r="F4" s="175" t="s">
        <v>799</v>
      </c>
      <c r="G4" s="175"/>
      <c r="H4" s="175"/>
      <c r="I4" s="21"/>
      <c r="J4" s="100" t="s">
        <v>191</v>
      </c>
      <c r="K4" s="21"/>
      <c r="L4" s="21"/>
      <c r="M4" s="21"/>
      <c r="N4" s="21" t="s">
        <v>183</v>
      </c>
      <c r="O4" s="21" t="s">
        <v>58</v>
      </c>
      <c r="P4" s="21"/>
      <c r="Q4" s="21" t="s">
        <v>185</v>
      </c>
      <c r="R4" s="21"/>
      <c r="S4" s="21" t="s">
        <v>186</v>
      </c>
    </row>
    <row r="5" spans="1:19">
      <c r="B5" s="21" t="s">
        <v>187</v>
      </c>
      <c r="C5" s="21" t="s">
        <v>188</v>
      </c>
      <c r="D5" s="21" t="s">
        <v>189</v>
      </c>
      <c r="E5" s="21"/>
      <c r="F5" s="21" t="s">
        <v>190</v>
      </c>
      <c r="G5" s="21" t="s">
        <v>188</v>
      </c>
      <c r="H5" s="21" t="s">
        <v>189</v>
      </c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</row>
    <row r="6" spans="1:19">
      <c r="A6" s="8" t="s">
        <v>378</v>
      </c>
      <c r="B6" s="8">
        <v>31.475341</v>
      </c>
      <c r="C6" s="8">
        <v>28.783200000000001</v>
      </c>
      <c r="D6" s="8">
        <v>31.343499999999999</v>
      </c>
      <c r="E6" s="62"/>
      <c r="F6" s="8">
        <v>20.931239999999999</v>
      </c>
      <c r="G6" s="8">
        <v>20.192312000000001</v>
      </c>
      <c r="H6" s="8">
        <v>20.44952</v>
      </c>
      <c r="I6" s="62"/>
      <c r="J6" s="62">
        <v>10.544101000000001</v>
      </c>
      <c r="K6" s="62">
        <v>8.5908879999999996</v>
      </c>
      <c r="L6" s="62">
        <v>10.893979999999999</v>
      </c>
      <c r="M6" s="62"/>
      <c r="N6" s="62">
        <v>10.7190405</v>
      </c>
      <c r="O6" s="8">
        <v>0.24740181349476653</v>
      </c>
      <c r="P6" s="8"/>
      <c r="Q6" s="8">
        <v>0</v>
      </c>
      <c r="R6" s="8"/>
      <c r="S6" s="8">
        <v>1</v>
      </c>
    </row>
    <row r="7" spans="1:19">
      <c r="A7" s="8" t="s">
        <v>213</v>
      </c>
      <c r="B7" s="8">
        <v>33.717881200000001</v>
      </c>
      <c r="C7" s="8">
        <v>33.193240000000003</v>
      </c>
      <c r="D7" s="8">
        <v>33.592329999999997</v>
      </c>
      <c r="E7" s="62"/>
      <c r="F7" s="8">
        <v>21.130369999999999</v>
      </c>
      <c r="G7" s="8">
        <v>21.639600000000002</v>
      </c>
      <c r="H7" s="8">
        <v>21.7744</v>
      </c>
      <c r="I7" s="62"/>
      <c r="J7" s="62">
        <v>12.587511200000002</v>
      </c>
      <c r="K7" s="62">
        <v>11.553640000000001</v>
      </c>
      <c r="L7" s="62">
        <v>11.817929999999997</v>
      </c>
      <c r="M7" s="62"/>
      <c r="N7" s="62">
        <v>11.986360400000001</v>
      </c>
      <c r="O7" s="8">
        <v>0.53712104248528647</v>
      </c>
      <c r="P7" s="8"/>
      <c r="Q7" s="8">
        <v>1.2673199000000004</v>
      </c>
      <c r="R7" s="8"/>
      <c r="S7" s="8">
        <v>0.41543080387772474</v>
      </c>
    </row>
    <row r="8" spans="1:19">
      <c r="A8" s="8" t="s">
        <v>170</v>
      </c>
      <c r="B8" s="8">
        <v>32.14687</v>
      </c>
      <c r="C8" s="8">
        <v>32.092770000000002</v>
      </c>
      <c r="D8" s="8">
        <v>32.868041990000002</v>
      </c>
      <c r="E8" s="62"/>
      <c r="F8" s="8">
        <v>21.952310000000001</v>
      </c>
      <c r="G8" s="8">
        <v>21.113900000000001</v>
      </c>
      <c r="H8" s="8">
        <v>21.294339999999998</v>
      </c>
      <c r="I8" s="62"/>
      <c r="J8" s="62">
        <v>10.194559999999999</v>
      </c>
      <c r="K8" s="62">
        <v>10.978870000000001</v>
      </c>
      <c r="L8" s="62">
        <v>11.573701990000004</v>
      </c>
      <c r="M8" s="62"/>
      <c r="N8" s="62">
        <v>10.915710663333334</v>
      </c>
      <c r="O8" s="8">
        <v>0.69173693229537991</v>
      </c>
      <c r="P8" s="8"/>
      <c r="Q8" s="8">
        <v>0.19667016333333365</v>
      </c>
      <c r="R8" s="8"/>
      <c r="S8" s="8">
        <v>0.8725621728052716</v>
      </c>
    </row>
    <row r="9" spans="1:19">
      <c r="A9" s="8" t="s">
        <v>380</v>
      </c>
      <c r="B9" s="8">
        <v>33.912199999999999</v>
      </c>
      <c r="C9" s="8">
        <v>33.1843</v>
      </c>
      <c r="D9" s="8">
        <v>32.954819999999998</v>
      </c>
      <c r="E9" s="62"/>
      <c r="F9" s="8">
        <v>20.222899999999999</v>
      </c>
      <c r="G9" s="8">
        <v>20.61083</v>
      </c>
      <c r="H9" s="8">
        <v>20.653808590000001</v>
      </c>
      <c r="I9" s="62"/>
      <c r="J9" s="62">
        <v>13.689299999999999</v>
      </c>
      <c r="K9" s="62">
        <v>12.57347</v>
      </c>
      <c r="L9" s="62">
        <v>12.301011409999997</v>
      </c>
      <c r="M9" s="62"/>
      <c r="N9" s="62">
        <v>12.995155704999998</v>
      </c>
      <c r="O9" s="8">
        <v>0.98166827623291197</v>
      </c>
      <c r="P9" s="8"/>
      <c r="Q9" s="8">
        <v>2.2761152049999982</v>
      </c>
      <c r="R9" s="8"/>
      <c r="S9" s="8">
        <v>0.20645292947911917</v>
      </c>
    </row>
    <row r="12" spans="1:19" ht="15.75">
      <c r="A12" s="48"/>
      <c r="B12" s="41" t="s">
        <v>436</v>
      </c>
      <c r="C12" s="42"/>
      <c r="D12" s="42"/>
      <c r="E12" s="42"/>
      <c r="F12" s="42"/>
      <c r="G12" s="42"/>
      <c r="H12" s="42"/>
    </row>
    <row r="13" spans="1:19">
      <c r="A13" s="70" t="s">
        <v>434</v>
      </c>
      <c r="B13" s="175" t="s">
        <v>181</v>
      </c>
      <c r="C13" s="175"/>
      <c r="D13" s="175"/>
      <c r="E13" s="21"/>
      <c r="F13" s="175" t="s">
        <v>799</v>
      </c>
      <c r="G13" s="175"/>
      <c r="H13" s="175"/>
      <c r="I13" s="21"/>
      <c r="J13" s="100" t="s">
        <v>191</v>
      </c>
      <c r="K13" s="21"/>
      <c r="L13" s="21"/>
      <c r="M13" s="21"/>
      <c r="N13" s="21" t="s">
        <v>183</v>
      </c>
      <c r="O13" s="21" t="s">
        <v>58</v>
      </c>
      <c r="P13" s="21"/>
      <c r="Q13" s="21" t="s">
        <v>185</v>
      </c>
      <c r="R13" s="21"/>
      <c r="S13" s="21" t="s">
        <v>186</v>
      </c>
    </row>
    <row r="14" spans="1:19">
      <c r="B14" s="21" t="s">
        <v>187</v>
      </c>
      <c r="C14" s="21" t="s">
        <v>188</v>
      </c>
      <c r="D14" s="21" t="s">
        <v>189</v>
      </c>
      <c r="E14" s="21"/>
      <c r="F14" s="21" t="s">
        <v>190</v>
      </c>
      <c r="G14" s="21" t="s">
        <v>188</v>
      </c>
      <c r="H14" s="21" t="s">
        <v>189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</row>
    <row r="15" spans="1:19">
      <c r="A15" s="8" t="s">
        <v>378</v>
      </c>
      <c r="B15">
        <v>31.884920000000001</v>
      </c>
      <c r="C15">
        <v>30.1843</v>
      </c>
      <c r="D15">
        <v>31.32912</v>
      </c>
      <c r="F15">
        <v>20.942329999999998</v>
      </c>
      <c r="G15">
        <v>20.103242999999999</v>
      </c>
      <c r="H15">
        <v>20.669429999999998</v>
      </c>
      <c r="J15">
        <f>B15-F15</f>
        <v>10.942590000000003</v>
      </c>
      <c r="K15">
        <f>C15-G15</f>
        <v>10.081057000000001</v>
      </c>
      <c r="L15">
        <f>D15-H15</f>
        <v>10.659690000000001</v>
      </c>
      <c r="N15">
        <f>AVERAGE(L15,J15)</f>
        <v>10.801140000000002</v>
      </c>
      <c r="O15">
        <f>STDEV(J15,L15)</f>
        <v>0.20004050839767534</v>
      </c>
      <c r="Q15">
        <f>N15-N15</f>
        <v>0</v>
      </c>
      <c r="S15">
        <f>POWER(2,-Q15)</f>
        <v>1</v>
      </c>
    </row>
    <row r="16" spans="1:19">
      <c r="A16" s="8" t="s">
        <v>213</v>
      </c>
      <c r="B16">
        <v>32.771929999999998</v>
      </c>
      <c r="C16">
        <v>32.919539999999998</v>
      </c>
      <c r="D16">
        <v>32.619430000000001</v>
      </c>
      <c r="F16">
        <v>20.303699999999999</v>
      </c>
      <c r="G16">
        <v>20.0396</v>
      </c>
      <c r="H16">
        <v>21.687743999999999</v>
      </c>
      <c r="J16">
        <v>12.468229999999998</v>
      </c>
      <c r="K16">
        <v>12.879939999999998</v>
      </c>
      <c r="L16">
        <v>10.931686000000003</v>
      </c>
      <c r="N16">
        <v>12.093285333333332</v>
      </c>
      <c r="O16">
        <v>1.0268208409578214</v>
      </c>
      <c r="Q16">
        <v>1.2921453333333304</v>
      </c>
      <c r="S16">
        <v>0.40834335803879279</v>
      </c>
    </row>
    <row r="17" spans="1:19">
      <c r="A17" s="8" t="s">
        <v>170</v>
      </c>
      <c r="B17">
        <v>33.693429999999999</v>
      </c>
      <c r="C17">
        <v>32.338943</v>
      </c>
      <c r="D17">
        <v>32.118229999999997</v>
      </c>
      <c r="F17">
        <v>21.941243</v>
      </c>
      <c r="G17">
        <v>21.2943</v>
      </c>
      <c r="H17">
        <v>21.359123199999999</v>
      </c>
      <c r="J17">
        <v>11.752186999999999</v>
      </c>
      <c r="K17">
        <v>11.044643000000001</v>
      </c>
      <c r="L17">
        <v>10.759106799999998</v>
      </c>
      <c r="N17">
        <v>11.185312266666665</v>
      </c>
      <c r="O17">
        <v>0.51126602942735566</v>
      </c>
      <c r="Q17">
        <v>0.38417226666666338</v>
      </c>
      <c r="S17">
        <v>0.7662184834389052</v>
      </c>
    </row>
    <row r="18" spans="1:19">
      <c r="A18" s="8" t="s">
        <v>380</v>
      </c>
      <c r="B18" s="8">
        <v>32.835299999999997</v>
      </c>
      <c r="C18" s="8">
        <v>33.292400000000001</v>
      </c>
      <c r="D18" s="8">
        <v>33.524299999999997</v>
      </c>
      <c r="E18" s="62"/>
      <c r="F18" s="8">
        <v>20.141999999999999</v>
      </c>
      <c r="G18" s="8">
        <v>20.581</v>
      </c>
      <c r="H18" s="8">
        <v>20.553000000000001</v>
      </c>
      <c r="I18" s="62"/>
      <c r="J18" s="62">
        <v>12.693299999999997</v>
      </c>
      <c r="K18" s="62">
        <v>12.711400000000001</v>
      </c>
      <c r="L18" s="62">
        <v>12.971299999999996</v>
      </c>
      <c r="M18" s="62"/>
      <c r="N18" s="62">
        <v>12.832299999999996</v>
      </c>
      <c r="O18" s="8">
        <v>0.19657568516985929</v>
      </c>
      <c r="P18" s="8"/>
      <c r="Q18" s="8">
        <v>2.0311599999999945</v>
      </c>
      <c r="R18" s="8"/>
      <c r="S18" s="8">
        <v>0.24465827762345149</v>
      </c>
    </row>
    <row r="21" spans="1:19" ht="15.75">
      <c r="A21" s="48"/>
      <c r="B21" s="41" t="s">
        <v>437</v>
      </c>
      <c r="C21" s="42"/>
      <c r="D21" s="42"/>
      <c r="E21" s="42"/>
      <c r="F21" s="42"/>
      <c r="G21" s="42"/>
      <c r="H21" s="42"/>
    </row>
    <row r="22" spans="1:19">
      <c r="A22" s="70" t="s">
        <v>434</v>
      </c>
      <c r="B22" s="175" t="s">
        <v>181</v>
      </c>
      <c r="C22" s="175"/>
      <c r="D22" s="175"/>
      <c r="E22" s="21"/>
      <c r="F22" s="175" t="s">
        <v>799</v>
      </c>
      <c r="G22" s="175"/>
      <c r="H22" s="175"/>
      <c r="I22" s="21"/>
      <c r="J22" s="100" t="s">
        <v>191</v>
      </c>
      <c r="K22" s="21"/>
      <c r="L22" s="21"/>
      <c r="M22" s="21"/>
      <c r="N22" s="21" t="s">
        <v>183</v>
      </c>
      <c r="O22" s="21" t="s">
        <v>58</v>
      </c>
      <c r="P22" s="21"/>
      <c r="Q22" s="21" t="s">
        <v>185</v>
      </c>
      <c r="R22" s="21"/>
      <c r="S22" s="21" t="s">
        <v>186</v>
      </c>
    </row>
    <row r="23" spans="1:19">
      <c r="B23" s="21" t="s">
        <v>187</v>
      </c>
      <c r="C23" s="21" t="s">
        <v>188</v>
      </c>
      <c r="D23" s="21" t="s">
        <v>189</v>
      </c>
      <c r="E23" s="21"/>
      <c r="F23" s="21" t="s">
        <v>190</v>
      </c>
      <c r="G23" s="21" t="s">
        <v>188</v>
      </c>
      <c r="H23" s="21" t="s">
        <v>189</v>
      </c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</row>
    <row r="24" spans="1:19">
      <c r="A24" s="8" t="s">
        <v>378</v>
      </c>
      <c r="B24">
        <v>31.191846847534102</v>
      </c>
      <c r="C24">
        <v>31.8991584777832</v>
      </c>
      <c r="D24">
        <v>31.331342697143555</v>
      </c>
      <c r="F24">
        <v>20.193200000000001</v>
      </c>
      <c r="G24">
        <v>20.119340000000001</v>
      </c>
      <c r="H24">
        <v>20.189430000000002</v>
      </c>
      <c r="J24">
        <v>10.998646847534101</v>
      </c>
      <c r="K24">
        <v>11.779818477783198</v>
      </c>
      <c r="L24">
        <v>11.141912697143553</v>
      </c>
      <c r="N24">
        <v>11.070279772338827</v>
      </c>
      <c r="O24">
        <v>0.10130425377129598</v>
      </c>
      <c r="Q24">
        <v>0</v>
      </c>
      <c r="S24">
        <v>1</v>
      </c>
    </row>
    <row r="25" spans="1:19">
      <c r="A25" s="8" t="s">
        <v>213</v>
      </c>
      <c r="B25">
        <v>33.845495605468699</v>
      </c>
      <c r="C25">
        <v>33.895943450927703</v>
      </c>
      <c r="D25">
        <v>33.765178680419901</v>
      </c>
      <c r="F25">
        <v>21.901232</v>
      </c>
      <c r="G25">
        <v>21.849634000000002</v>
      </c>
      <c r="H25">
        <v>22.93824</v>
      </c>
      <c r="J25">
        <v>11.944263605468699</v>
      </c>
      <c r="K25">
        <v>12.046309450927701</v>
      </c>
      <c r="L25">
        <v>10.8269386804199</v>
      </c>
      <c r="N25">
        <v>11.605837245605434</v>
      </c>
      <c r="O25">
        <v>0.67647288916845905</v>
      </c>
      <c r="Q25">
        <v>0.53555747326660708</v>
      </c>
      <c r="S25">
        <v>0.6898920432963892</v>
      </c>
    </row>
    <row r="26" spans="1:19">
      <c r="A26" s="8" t="s">
        <v>170</v>
      </c>
      <c r="B26">
        <v>33.845495605468699</v>
      </c>
      <c r="C26">
        <v>33.895943450927703</v>
      </c>
      <c r="D26">
        <v>33.765178680419901</v>
      </c>
      <c r="F26">
        <v>22.630369999999999</v>
      </c>
      <c r="G26">
        <v>22.048283999999999</v>
      </c>
      <c r="H26">
        <v>22.923687743999999</v>
      </c>
      <c r="J26">
        <v>11.2151256054687</v>
      </c>
      <c r="K26">
        <v>11.847659450927704</v>
      </c>
      <c r="L26">
        <v>10.841490936419902</v>
      </c>
      <c r="N26">
        <v>11.30142533093877</v>
      </c>
      <c r="O26">
        <v>0.50860544812149466</v>
      </c>
      <c r="Q26">
        <v>0.2311455585999429</v>
      </c>
      <c r="S26">
        <v>0.85195813367225637</v>
      </c>
    </row>
    <row r="27" spans="1:19">
      <c r="A27" s="8" t="s">
        <v>380</v>
      </c>
      <c r="B27" s="8">
        <v>32.895409999999998</v>
      </c>
      <c r="C27" s="8">
        <v>33.629429999999999</v>
      </c>
      <c r="D27" s="8">
        <v>33.494320000000002</v>
      </c>
      <c r="E27" s="62"/>
      <c r="F27" s="8">
        <v>20.294309999999999</v>
      </c>
      <c r="G27" s="8">
        <v>20.439229999999998</v>
      </c>
      <c r="H27" s="8">
        <v>20.139299999999999</v>
      </c>
      <c r="I27" s="62"/>
      <c r="J27" s="62">
        <v>12.601099999999999</v>
      </c>
      <c r="K27" s="62">
        <v>13.190200000000001</v>
      </c>
      <c r="L27" s="62">
        <v>13.355020000000003</v>
      </c>
      <c r="M27" s="62"/>
      <c r="N27" s="62">
        <v>12.978060000000001</v>
      </c>
      <c r="O27" s="8">
        <v>0.53310194447216497</v>
      </c>
      <c r="P27" s="8"/>
      <c r="Q27" s="8">
        <v>1.9077802276611742</v>
      </c>
      <c r="R27" s="8"/>
      <c r="S27" s="8">
        <v>0.26650227843680135</v>
      </c>
    </row>
    <row r="30" spans="1:19" ht="15.75">
      <c r="A30" s="48"/>
      <c r="B30" s="41" t="s">
        <v>438</v>
      </c>
      <c r="C30" s="42"/>
      <c r="D30" s="42"/>
      <c r="E30" s="42"/>
      <c r="F30" s="42"/>
      <c r="G30" s="42"/>
      <c r="H30" s="42"/>
    </row>
    <row r="31" spans="1:19">
      <c r="A31" s="70" t="s">
        <v>434</v>
      </c>
      <c r="B31" s="175" t="s">
        <v>181</v>
      </c>
      <c r="C31" s="175"/>
      <c r="D31" s="175"/>
      <c r="E31" s="21"/>
      <c r="F31" s="175" t="s">
        <v>799</v>
      </c>
      <c r="G31" s="175"/>
      <c r="H31" s="175"/>
      <c r="I31" s="21"/>
      <c r="J31" s="100" t="s">
        <v>191</v>
      </c>
      <c r="K31" s="21"/>
      <c r="L31" s="21"/>
      <c r="M31" s="21"/>
      <c r="N31" s="21" t="s">
        <v>183</v>
      </c>
      <c r="O31" s="21" t="s">
        <v>58</v>
      </c>
      <c r="P31" s="21"/>
      <c r="Q31" s="21" t="s">
        <v>185</v>
      </c>
      <c r="R31" s="21"/>
      <c r="S31" s="21" t="s">
        <v>186</v>
      </c>
    </row>
    <row r="32" spans="1:19">
      <c r="B32" s="21" t="s">
        <v>187</v>
      </c>
      <c r="C32" s="21" t="s">
        <v>188</v>
      </c>
      <c r="D32" s="21" t="s">
        <v>189</v>
      </c>
      <c r="E32" s="21"/>
      <c r="F32" s="21" t="s">
        <v>190</v>
      </c>
      <c r="G32" s="21" t="s">
        <v>188</v>
      </c>
      <c r="H32" s="21" t="s">
        <v>189</v>
      </c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</row>
    <row r="33" spans="1:19">
      <c r="A33" s="8" t="s">
        <v>378</v>
      </c>
      <c r="B33">
        <v>31.849322999999998</v>
      </c>
      <c r="C33">
        <v>31.201343000000001</v>
      </c>
      <c r="D33">
        <v>31.590243000000001</v>
      </c>
      <c r="F33">
        <v>20.399429999999999</v>
      </c>
      <c r="G33">
        <v>20.10934</v>
      </c>
      <c r="H33">
        <v>20.723220000000001</v>
      </c>
      <c r="J33">
        <v>11.449892999999999</v>
      </c>
      <c r="K33">
        <v>11.092003000000002</v>
      </c>
      <c r="L33">
        <v>10.867023</v>
      </c>
      <c r="N33">
        <v>11.158458</v>
      </c>
      <c r="O33">
        <v>0.41215132955020278</v>
      </c>
      <c r="Q33">
        <v>0</v>
      </c>
      <c r="S33">
        <v>1</v>
      </c>
    </row>
    <row r="34" spans="1:19">
      <c r="A34" s="8" t="s">
        <v>213</v>
      </c>
      <c r="B34">
        <v>33.993423</v>
      </c>
      <c r="C34">
        <v>33.950243</v>
      </c>
      <c r="D34">
        <v>33.930123199999997</v>
      </c>
      <c r="F34">
        <v>21.1960324</v>
      </c>
      <c r="G34">
        <v>21.141933999999999</v>
      </c>
      <c r="H34">
        <v>21.100342999999999</v>
      </c>
      <c r="J34">
        <v>12.7973906</v>
      </c>
      <c r="K34">
        <v>12.808309000000001</v>
      </c>
      <c r="L34">
        <v>12.829780199999998</v>
      </c>
      <c r="N34">
        <v>12.811826599999998</v>
      </c>
      <c r="O34">
        <v>1.6478825181424971E-2</v>
      </c>
      <c r="Q34">
        <v>1.6533685999999985</v>
      </c>
      <c r="S34">
        <v>0.31789702051180152</v>
      </c>
    </row>
    <row r="35" spans="1:19">
      <c r="A35" s="8" t="s">
        <v>170</v>
      </c>
      <c r="B35">
        <v>33.020131999999997</v>
      </c>
      <c r="C35">
        <v>33.401232</v>
      </c>
      <c r="D35">
        <v>33.590229999999998</v>
      </c>
      <c r="F35">
        <v>21.950199999999999</v>
      </c>
      <c r="G35">
        <v>21.669419999999999</v>
      </c>
      <c r="H35">
        <v>21.495923000000001</v>
      </c>
      <c r="J35">
        <v>11.069931999999998</v>
      </c>
      <c r="K35">
        <v>11.731812000000001</v>
      </c>
      <c r="L35">
        <v>12.094306999999997</v>
      </c>
      <c r="N35">
        <v>11.632016999999999</v>
      </c>
      <c r="O35">
        <v>0.51942787437237137</v>
      </c>
      <c r="Q35">
        <v>0.47355899999999984</v>
      </c>
      <c r="S35">
        <v>0.720185770492765</v>
      </c>
    </row>
    <row r="36" spans="1:19">
      <c r="A36" s="8" t="s">
        <v>380</v>
      </c>
      <c r="B36" s="8">
        <v>33.512830000000001</v>
      </c>
      <c r="C36" s="8">
        <v>33.661200000000001</v>
      </c>
      <c r="D36" s="8">
        <v>33.718200000000003</v>
      </c>
      <c r="E36" s="62"/>
      <c r="F36" s="8">
        <v>20.224900000000002</v>
      </c>
      <c r="G36" s="8">
        <v>20.411200000000001</v>
      </c>
      <c r="H36" s="8">
        <v>20.448119999999999</v>
      </c>
      <c r="I36" s="62"/>
      <c r="J36" s="62">
        <v>13.287929999999999</v>
      </c>
      <c r="K36" s="62">
        <v>13.25</v>
      </c>
      <c r="L36" s="62">
        <v>13.270080000000004</v>
      </c>
      <c r="M36" s="62"/>
      <c r="N36" s="62">
        <v>13.279005000000002</v>
      </c>
      <c r="O36" s="8">
        <v>1.2621856044176835E-2</v>
      </c>
      <c r="P36" s="8"/>
      <c r="Q36" s="8">
        <v>2.120547000000002</v>
      </c>
      <c r="R36" s="8"/>
      <c r="S36" s="8">
        <v>0.22995970655563486</v>
      </c>
    </row>
    <row r="39" spans="1:19" ht="15.75">
      <c r="A39" s="41"/>
      <c r="B39" s="41" t="s">
        <v>439</v>
      </c>
      <c r="C39" s="42"/>
      <c r="D39" s="42"/>
      <c r="E39" s="42"/>
      <c r="F39" s="42"/>
      <c r="G39" s="42"/>
      <c r="H39" s="42"/>
    </row>
    <row r="40" spans="1:19">
      <c r="A40" s="70" t="s">
        <v>434</v>
      </c>
      <c r="B40" s="175" t="s">
        <v>181</v>
      </c>
      <c r="C40" s="175"/>
      <c r="D40" s="175"/>
      <c r="E40" s="21"/>
      <c r="F40" s="175" t="s">
        <v>799</v>
      </c>
      <c r="G40" s="175"/>
      <c r="H40" s="175"/>
      <c r="I40" s="21"/>
      <c r="J40" s="100" t="s">
        <v>191</v>
      </c>
      <c r="K40" s="21"/>
      <c r="L40" s="21"/>
      <c r="M40" s="21"/>
      <c r="N40" s="21" t="s">
        <v>183</v>
      </c>
      <c r="O40" s="21" t="s">
        <v>58</v>
      </c>
      <c r="P40" s="21"/>
      <c r="Q40" s="21" t="s">
        <v>185</v>
      </c>
      <c r="R40" s="21"/>
      <c r="S40" s="21" t="s">
        <v>186</v>
      </c>
    </row>
    <row r="41" spans="1:19">
      <c r="B41" s="21" t="s">
        <v>187</v>
      </c>
      <c r="C41" s="21" t="s">
        <v>188</v>
      </c>
      <c r="D41" s="21" t="s">
        <v>189</v>
      </c>
      <c r="E41" s="21"/>
      <c r="F41" s="21" t="s">
        <v>190</v>
      </c>
      <c r="G41" s="21" t="s">
        <v>188</v>
      </c>
      <c r="H41" s="21" t="s">
        <v>189</v>
      </c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</row>
    <row r="42" spans="1:19">
      <c r="A42" s="8" t="s">
        <v>378</v>
      </c>
      <c r="B42">
        <v>31.4954</v>
      </c>
      <c r="C42">
        <v>30.134930000000001</v>
      </c>
      <c r="D42">
        <v>31.42943</v>
      </c>
      <c r="F42">
        <v>20.9923</v>
      </c>
      <c r="G42">
        <v>20.103435000000001</v>
      </c>
      <c r="H42">
        <v>20.559234</v>
      </c>
      <c r="J42">
        <v>10.5031</v>
      </c>
      <c r="K42">
        <v>10.031495</v>
      </c>
      <c r="L42">
        <v>10.870196</v>
      </c>
      <c r="N42">
        <v>10.686648</v>
      </c>
      <c r="O42">
        <v>0.2595760709464569</v>
      </c>
      <c r="Q42">
        <v>0</v>
      </c>
      <c r="S42">
        <v>1</v>
      </c>
    </row>
    <row r="43" spans="1:19">
      <c r="A43" s="8" t="s">
        <v>213</v>
      </c>
      <c r="B43">
        <v>34.441932000000001</v>
      </c>
      <c r="C43">
        <v>34.589124300000002</v>
      </c>
      <c r="D43">
        <v>34.689124300000003</v>
      </c>
      <c r="F43">
        <v>23.789563999999999</v>
      </c>
      <c r="G43">
        <v>23.22945</v>
      </c>
      <c r="H43">
        <v>22.182200000000002</v>
      </c>
      <c r="J43">
        <v>10.652368000000003</v>
      </c>
      <c r="K43">
        <v>11.359674300000002</v>
      </c>
      <c r="L43">
        <v>12.506924300000001</v>
      </c>
      <c r="N43">
        <v>11.506322200000001</v>
      </c>
      <c r="O43">
        <v>0.93593481204527751</v>
      </c>
      <c r="Q43">
        <v>0.81967420000000146</v>
      </c>
      <c r="S43">
        <v>0.56656987517633217</v>
      </c>
    </row>
    <row r="44" spans="1:19">
      <c r="A44" s="8" t="s">
        <v>170</v>
      </c>
      <c r="B44">
        <v>33.823399999999999</v>
      </c>
      <c r="C44">
        <v>33.102339999999998</v>
      </c>
      <c r="D44">
        <v>33.599119999999999</v>
      </c>
      <c r="F44">
        <v>23.00234</v>
      </c>
      <c r="G44">
        <v>22.96923</v>
      </c>
      <c r="H44">
        <v>22.025230000000001</v>
      </c>
      <c r="J44">
        <v>10.821059999999999</v>
      </c>
      <c r="K44">
        <v>10.133109999999999</v>
      </c>
      <c r="L44">
        <v>11.573889999999999</v>
      </c>
      <c r="N44">
        <v>10.842686666666665</v>
      </c>
      <c r="O44">
        <v>0.72063342736327007</v>
      </c>
      <c r="Q44">
        <v>0.15603866666666555</v>
      </c>
      <c r="S44">
        <v>0.89748599620258285</v>
      </c>
    </row>
    <row r="45" spans="1:19">
      <c r="A45" s="8" t="s">
        <v>380</v>
      </c>
      <c r="B45" s="8">
        <v>33.7712</v>
      </c>
      <c r="C45" s="8">
        <v>33.682299999999998</v>
      </c>
      <c r="D45" s="8">
        <v>33.841200000000001</v>
      </c>
      <c r="E45" s="62"/>
      <c r="F45" s="8">
        <v>21.224299999999999</v>
      </c>
      <c r="G45" s="8">
        <v>21.319299999999998</v>
      </c>
      <c r="H45" s="8">
        <v>21.249099999999999</v>
      </c>
      <c r="I45" s="62"/>
      <c r="J45" s="62">
        <v>12.546900000000001</v>
      </c>
      <c r="K45" s="62">
        <v>12.363</v>
      </c>
      <c r="L45" s="62">
        <v>12.592100000000002</v>
      </c>
      <c r="M45" s="62"/>
      <c r="N45" s="62">
        <v>12.569500000000001</v>
      </c>
      <c r="O45" s="8">
        <v>3.1961226509632824E-2</v>
      </c>
      <c r="P45" s="8"/>
      <c r="Q45" s="8">
        <v>1.8828520000000015</v>
      </c>
      <c r="R45" s="8"/>
      <c r="S45" s="8">
        <v>0.27114716662838095</v>
      </c>
    </row>
  </sheetData>
  <mergeCells count="10">
    <mergeCell ref="B31:D31"/>
    <mergeCell ref="F31:H31"/>
    <mergeCell ref="B40:D40"/>
    <mergeCell ref="F40:H40"/>
    <mergeCell ref="B4:D4"/>
    <mergeCell ref="F4:H4"/>
    <mergeCell ref="B13:D13"/>
    <mergeCell ref="F13:H13"/>
    <mergeCell ref="B22:D22"/>
    <mergeCell ref="F22:H22"/>
  </mergeCells>
  <pageMargins left="0.7" right="0.7" top="0.75" bottom="0.75" header="0.3" footer="0.3"/>
  <pageSetup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"/>
  <sheetViews>
    <sheetView workbookViewId="0">
      <selection activeCell="F3" sqref="F3:H3"/>
    </sheetView>
  </sheetViews>
  <sheetFormatPr defaultRowHeight="15"/>
  <cols>
    <col min="1" max="1" width="19.28515625" customWidth="1"/>
    <col min="2" max="2" width="12.28515625" customWidth="1"/>
    <col min="3" max="3" width="11.5703125" customWidth="1"/>
  </cols>
  <sheetData>
    <row r="1" spans="1:19" ht="15.75">
      <c r="A1" s="48" t="s">
        <v>440</v>
      </c>
      <c r="B1" s="42"/>
      <c r="C1" s="42"/>
      <c r="D1" s="41" t="s">
        <v>445</v>
      </c>
      <c r="E1" s="41"/>
      <c r="F1" s="41"/>
      <c r="G1" s="41"/>
      <c r="H1" s="41"/>
      <c r="I1" s="42"/>
    </row>
    <row r="2" spans="1:19" ht="15.75">
      <c r="A2" s="48"/>
      <c r="B2" s="41" t="s">
        <v>435</v>
      </c>
      <c r="C2" s="42"/>
      <c r="D2" s="42"/>
      <c r="E2" s="42"/>
      <c r="F2" s="42"/>
      <c r="G2" s="42"/>
      <c r="H2" s="42"/>
    </row>
    <row r="3" spans="1:19">
      <c r="A3" s="70" t="s">
        <v>441</v>
      </c>
      <c r="B3" s="175" t="s">
        <v>181</v>
      </c>
      <c r="C3" s="175"/>
      <c r="D3" s="175"/>
      <c r="E3" s="21"/>
      <c r="F3" s="175" t="s">
        <v>799</v>
      </c>
      <c r="G3" s="175"/>
      <c r="H3" s="175"/>
      <c r="I3" s="21"/>
      <c r="J3" s="100" t="s">
        <v>191</v>
      </c>
      <c r="K3" s="21"/>
      <c r="L3" s="21"/>
      <c r="M3" s="21"/>
      <c r="N3" s="21" t="s">
        <v>183</v>
      </c>
      <c r="O3" s="21" t="s">
        <v>58</v>
      </c>
      <c r="P3" s="21"/>
      <c r="Q3" s="21" t="s">
        <v>185</v>
      </c>
      <c r="R3" s="21"/>
      <c r="S3" s="21" t="s">
        <v>186</v>
      </c>
    </row>
    <row r="4" spans="1:19">
      <c r="B4" s="21" t="s">
        <v>187</v>
      </c>
      <c r="C4" s="21" t="s">
        <v>188</v>
      </c>
      <c r="D4" s="21" t="s">
        <v>189</v>
      </c>
      <c r="E4" s="21"/>
      <c r="F4" s="21" t="s">
        <v>190</v>
      </c>
      <c r="G4" s="21" t="s">
        <v>188</v>
      </c>
      <c r="H4" s="21" t="s">
        <v>189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</row>
    <row r="5" spans="1:19">
      <c r="A5" s="8" t="s">
        <v>378</v>
      </c>
      <c r="B5" s="8">
        <v>30.884920000000001</v>
      </c>
      <c r="C5" s="8">
        <v>30.194500000000001</v>
      </c>
      <c r="D5" s="8">
        <v>30.489229999999999</v>
      </c>
      <c r="E5" s="62"/>
      <c r="F5" s="8">
        <v>21.294540000000001</v>
      </c>
      <c r="G5" s="8">
        <v>21.019344</v>
      </c>
      <c r="H5" s="8">
        <v>21.194500000000001</v>
      </c>
      <c r="I5" s="62"/>
      <c r="J5" s="62">
        <v>9.5903799999999997</v>
      </c>
      <c r="K5" s="62">
        <v>9.1751560000000012</v>
      </c>
      <c r="L5" s="62">
        <v>9.2947299999999977</v>
      </c>
      <c r="M5" s="62"/>
      <c r="N5" s="62">
        <v>9.4425549999999987</v>
      </c>
      <c r="O5" s="8">
        <v>0.20905611985780417</v>
      </c>
      <c r="P5" s="8"/>
      <c r="Q5" s="8">
        <v>0</v>
      </c>
      <c r="R5" s="8"/>
      <c r="S5" s="8">
        <v>1</v>
      </c>
    </row>
    <row r="6" spans="1:19">
      <c r="A6" s="8" t="s">
        <v>213</v>
      </c>
      <c r="B6" s="8">
        <v>33.194533999999997</v>
      </c>
      <c r="C6" s="8">
        <v>33.559491229999999</v>
      </c>
      <c r="D6" s="8">
        <v>33.599229999999999</v>
      </c>
      <c r="E6" s="62"/>
      <c r="F6" s="8">
        <v>23.312034300000001</v>
      </c>
      <c r="G6" s="8">
        <v>23.694323000000001</v>
      </c>
      <c r="H6" s="8">
        <v>22.199342999999999</v>
      </c>
      <c r="I6" s="62"/>
      <c r="J6" s="62">
        <v>9.8824996999999968</v>
      </c>
      <c r="K6" s="62">
        <v>9.8651682299999983</v>
      </c>
      <c r="L6" s="62">
        <v>11.399887</v>
      </c>
      <c r="M6" s="62"/>
      <c r="N6" s="62">
        <v>10.382518309999998</v>
      </c>
      <c r="O6" s="8">
        <v>0.88110974543885812</v>
      </c>
      <c r="P6" s="8"/>
      <c r="Q6" s="8">
        <v>0.93996330999999955</v>
      </c>
      <c r="R6" s="8"/>
      <c r="S6" s="8">
        <v>0.52124613635963302</v>
      </c>
    </row>
    <row r="7" spans="1:19">
      <c r="A7" s="8" t="s">
        <v>170</v>
      </c>
      <c r="B7" s="8">
        <v>32.193240000000003</v>
      </c>
      <c r="C7" s="8">
        <v>32.889130000000002</v>
      </c>
      <c r="D7" s="8">
        <v>32.939912</v>
      </c>
      <c r="E7" s="62"/>
      <c r="F7" s="8">
        <v>22.149457000000002</v>
      </c>
      <c r="G7" s="8">
        <v>23.103300000000001</v>
      </c>
      <c r="H7" s="8">
        <v>22.243269999999999</v>
      </c>
      <c r="I7" s="62"/>
      <c r="J7" s="62">
        <v>10.043783000000001</v>
      </c>
      <c r="K7" s="62">
        <v>9.7858300000000007</v>
      </c>
      <c r="L7" s="62">
        <v>10.696642000000001</v>
      </c>
      <c r="M7" s="62"/>
      <c r="N7" s="62">
        <v>10.175418333333335</v>
      </c>
      <c r="O7" s="8">
        <v>0.46945768773376501</v>
      </c>
      <c r="P7" s="8"/>
      <c r="Q7" s="8">
        <v>0.73286333333333609</v>
      </c>
      <c r="R7" s="8"/>
      <c r="S7" s="8">
        <v>0.60170851021620564</v>
      </c>
    </row>
    <row r="8" spans="1:19">
      <c r="A8" s="8" t="s">
        <v>380</v>
      </c>
      <c r="B8" s="8">
        <v>32.1843</v>
      </c>
      <c r="C8" s="8">
        <v>32.283299999999997</v>
      </c>
      <c r="D8" s="8">
        <v>32.325400000000002</v>
      </c>
      <c r="E8" s="62"/>
      <c r="F8" s="8">
        <v>20.581199999999999</v>
      </c>
      <c r="G8" s="8">
        <v>20.194299999999998</v>
      </c>
      <c r="H8" s="8">
        <v>20.485199999999999</v>
      </c>
      <c r="I8" s="62"/>
      <c r="J8" s="62">
        <v>11.603100000000001</v>
      </c>
      <c r="K8" s="62">
        <v>12.088999999999999</v>
      </c>
      <c r="L8" s="62">
        <v>11.840200000000003</v>
      </c>
      <c r="M8" s="62"/>
      <c r="N8" s="62">
        <v>11.721650000000002</v>
      </c>
      <c r="O8" s="8">
        <v>0.16765501781933159</v>
      </c>
      <c r="P8" s="8"/>
      <c r="Q8" s="8">
        <v>2.2790950000000034</v>
      </c>
      <c r="R8" s="8"/>
      <c r="S8" s="8">
        <v>0.20602695412639896</v>
      </c>
    </row>
    <row r="11" spans="1:19" ht="15.75">
      <c r="A11" s="48"/>
      <c r="B11" s="41" t="s">
        <v>436</v>
      </c>
      <c r="C11" s="42"/>
      <c r="D11" s="42"/>
      <c r="E11" s="42"/>
      <c r="F11" s="42"/>
      <c r="G11" s="42"/>
      <c r="H11" s="42"/>
    </row>
    <row r="12" spans="1:19">
      <c r="A12" s="70" t="s">
        <v>441</v>
      </c>
      <c r="B12" s="175" t="s">
        <v>181</v>
      </c>
      <c r="C12" s="175"/>
      <c r="D12" s="175"/>
      <c r="E12" s="21"/>
      <c r="F12" s="175" t="s">
        <v>799</v>
      </c>
      <c r="G12" s="175"/>
      <c r="H12" s="175"/>
      <c r="I12" s="21"/>
      <c r="J12" s="100" t="s">
        <v>191</v>
      </c>
      <c r="K12" s="21"/>
      <c r="L12" s="21"/>
      <c r="M12" s="21"/>
      <c r="N12" s="21" t="s">
        <v>183</v>
      </c>
      <c r="O12" s="21" t="s">
        <v>58</v>
      </c>
      <c r="P12" s="21"/>
      <c r="Q12" s="21" t="s">
        <v>185</v>
      </c>
      <c r="R12" s="21"/>
      <c r="S12" s="21" t="s">
        <v>186</v>
      </c>
    </row>
    <row r="13" spans="1:19">
      <c r="B13" s="21" t="s">
        <v>187</v>
      </c>
      <c r="C13" s="21" t="s">
        <v>188</v>
      </c>
      <c r="D13" s="21" t="s">
        <v>189</v>
      </c>
      <c r="E13" s="21"/>
      <c r="F13" s="21" t="s">
        <v>190</v>
      </c>
      <c r="G13" s="21" t="s">
        <v>188</v>
      </c>
      <c r="H13" s="21" t="s">
        <v>189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</row>
    <row r="14" spans="1:19">
      <c r="A14" s="8" t="s">
        <v>378</v>
      </c>
      <c r="B14">
        <v>32.994230999999999</v>
      </c>
      <c r="C14">
        <v>32.190542999999998</v>
      </c>
      <c r="D14">
        <v>32.499123429999997</v>
      </c>
      <c r="F14">
        <v>22.394300000000001</v>
      </c>
      <c r="G14">
        <v>22.294339999999998</v>
      </c>
      <c r="H14">
        <v>22.193434</v>
      </c>
      <c r="J14">
        <v>10.599930999999998</v>
      </c>
      <c r="K14">
        <v>9.8962029999999999</v>
      </c>
      <c r="L14">
        <v>10.305689429999997</v>
      </c>
      <c r="N14">
        <v>10.452810214999998</v>
      </c>
      <c r="O14">
        <v>0.20806020945397657</v>
      </c>
      <c r="Q14">
        <v>0</v>
      </c>
      <c r="S14">
        <v>1</v>
      </c>
    </row>
    <row r="15" spans="1:19">
      <c r="A15" s="8" t="s">
        <v>213</v>
      </c>
      <c r="B15">
        <v>32.954340000000002</v>
      </c>
      <c r="C15">
        <v>32.923479999999998</v>
      </c>
      <c r="D15">
        <v>32.603945000000003</v>
      </c>
      <c r="F15">
        <v>21.590432320000001</v>
      </c>
      <c r="G15">
        <v>21.034491299999999</v>
      </c>
      <c r="H15">
        <v>21.410433999999999</v>
      </c>
      <c r="J15">
        <v>11.363907680000001</v>
      </c>
      <c r="K15">
        <v>11.888988699999999</v>
      </c>
      <c r="L15">
        <v>11.193511000000004</v>
      </c>
      <c r="N15">
        <v>11.482135793333335</v>
      </c>
      <c r="O15">
        <v>0.3624992729456023</v>
      </c>
      <c r="Q15">
        <v>1.0293255783333368</v>
      </c>
      <c r="S15">
        <v>0.48993912881619639</v>
      </c>
    </row>
    <row r="16" spans="1:19">
      <c r="A16" s="8" t="s">
        <v>170</v>
      </c>
      <c r="B16">
        <v>32.902412300000002</v>
      </c>
      <c r="C16">
        <v>32.589222999999997</v>
      </c>
      <c r="D16">
        <v>32.195241230000001</v>
      </c>
      <c r="F16">
        <v>22.89434</v>
      </c>
      <c r="G16">
        <v>21.719429999999999</v>
      </c>
      <c r="H16">
        <v>21.669242300000001</v>
      </c>
      <c r="J16">
        <v>10.008072300000002</v>
      </c>
      <c r="K16">
        <v>10.869792999999998</v>
      </c>
      <c r="L16">
        <v>10.52599893</v>
      </c>
      <c r="N16">
        <v>10.467954743333333</v>
      </c>
      <c r="O16">
        <v>0.43378276464892751</v>
      </c>
      <c r="Q16">
        <v>1.5144528333335572E-2</v>
      </c>
      <c r="S16">
        <v>0.98955751816435722</v>
      </c>
    </row>
    <row r="17" spans="1:19">
      <c r="A17" s="8" t="s">
        <v>380</v>
      </c>
      <c r="B17" s="8">
        <v>32.7395</v>
      </c>
      <c r="C17" s="8">
        <v>30.485199999999999</v>
      </c>
      <c r="D17" s="8">
        <v>32.7834</v>
      </c>
      <c r="E17" s="62"/>
      <c r="F17" s="8">
        <v>20.19248</v>
      </c>
      <c r="G17" s="8">
        <v>20.11843</v>
      </c>
      <c r="H17" s="8">
        <v>20.228400000000001</v>
      </c>
      <c r="I17" s="62"/>
      <c r="J17" s="62">
        <v>12.54702</v>
      </c>
      <c r="K17" s="62">
        <v>10.366769999999999</v>
      </c>
      <c r="L17" s="62">
        <v>12.555</v>
      </c>
      <c r="M17" s="62"/>
      <c r="N17" s="62">
        <v>12.55101</v>
      </c>
      <c r="O17" s="8">
        <v>5.6427121138685615E-3</v>
      </c>
      <c r="P17" s="8"/>
      <c r="Q17" s="8">
        <v>2.098199785000002</v>
      </c>
      <c r="R17" s="8"/>
      <c r="S17" s="8">
        <v>0.23354949245197681</v>
      </c>
    </row>
    <row r="20" spans="1:19" ht="15.75">
      <c r="A20" s="48"/>
      <c r="B20" s="41" t="s">
        <v>437</v>
      </c>
      <c r="C20" s="42"/>
      <c r="D20" s="42"/>
      <c r="E20" s="42"/>
      <c r="F20" s="42"/>
      <c r="G20" s="42"/>
      <c r="H20" s="42"/>
    </row>
    <row r="21" spans="1:19">
      <c r="A21" s="70" t="s">
        <v>441</v>
      </c>
      <c r="B21" s="175" t="s">
        <v>181</v>
      </c>
      <c r="C21" s="175"/>
      <c r="D21" s="175"/>
      <c r="E21" s="21"/>
      <c r="F21" s="175" t="s">
        <v>799</v>
      </c>
      <c r="G21" s="175"/>
      <c r="H21" s="175"/>
      <c r="I21" s="21"/>
      <c r="J21" s="100" t="s">
        <v>191</v>
      </c>
      <c r="K21" s="21"/>
      <c r="L21" s="21"/>
      <c r="M21" s="21"/>
      <c r="N21" s="21" t="s">
        <v>183</v>
      </c>
      <c r="O21" s="21" t="s">
        <v>58</v>
      </c>
      <c r="P21" s="21"/>
      <c r="Q21" s="21" t="s">
        <v>185</v>
      </c>
      <c r="R21" s="21"/>
      <c r="S21" s="21" t="s">
        <v>186</v>
      </c>
    </row>
    <row r="22" spans="1:19">
      <c r="B22" s="21" t="s">
        <v>187</v>
      </c>
      <c r="C22" s="21" t="s">
        <v>188</v>
      </c>
      <c r="D22" s="21" t="s">
        <v>189</v>
      </c>
      <c r="E22" s="21"/>
      <c r="F22" s="21" t="s">
        <v>190</v>
      </c>
      <c r="G22" s="21" t="s">
        <v>188</v>
      </c>
      <c r="H22" s="21" t="s">
        <v>189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</row>
    <row r="23" spans="1:19">
      <c r="A23" s="8" t="s">
        <v>378</v>
      </c>
      <c r="B23">
        <v>31.439234200000001</v>
      </c>
      <c r="C23">
        <v>31.104434000000001</v>
      </c>
      <c r="D23">
        <v>31.668341999999999</v>
      </c>
      <c r="F23">
        <v>21.203454000000001</v>
      </c>
      <c r="G23">
        <v>21.11035</v>
      </c>
      <c r="H23">
        <v>21.194493000000001</v>
      </c>
      <c r="J23">
        <v>10.235780200000001</v>
      </c>
      <c r="K23">
        <v>9.9940840000000009</v>
      </c>
      <c r="L23">
        <v>10.473848999999998</v>
      </c>
      <c r="N23">
        <v>10.354814599999999</v>
      </c>
      <c r="O23">
        <v>0.16834006286894188</v>
      </c>
      <c r="Q23">
        <v>0</v>
      </c>
      <c r="S23">
        <v>1</v>
      </c>
    </row>
    <row r="24" spans="1:19">
      <c r="A24" s="8" t="s">
        <v>213</v>
      </c>
      <c r="B24">
        <v>32.193254500000002</v>
      </c>
      <c r="C24">
        <v>32.949523399999997</v>
      </c>
      <c r="D24">
        <v>32.695012300000002</v>
      </c>
      <c r="F24">
        <v>21.049213429999998</v>
      </c>
      <c r="G24">
        <v>21.4931023</v>
      </c>
      <c r="H24">
        <v>21.593423319999999</v>
      </c>
      <c r="J24">
        <v>11.144041070000004</v>
      </c>
      <c r="K24">
        <v>11.456421099999996</v>
      </c>
      <c r="L24">
        <v>11.101588980000002</v>
      </c>
      <c r="N24">
        <v>11.23401705</v>
      </c>
      <c r="O24">
        <v>0.19377362069859369</v>
      </c>
      <c r="Q24">
        <v>0.87920245000000108</v>
      </c>
      <c r="S24">
        <v>0.54366789843750141</v>
      </c>
    </row>
    <row r="25" spans="1:19">
      <c r="A25" s="8" t="s">
        <v>170</v>
      </c>
      <c r="B25">
        <v>32.299340000000001</v>
      </c>
      <c r="C25">
        <v>32.599122999999999</v>
      </c>
      <c r="D25">
        <v>32.100284299999998</v>
      </c>
      <c r="F25">
        <v>21.784939999999999</v>
      </c>
      <c r="G25">
        <v>21.558029999999999</v>
      </c>
      <c r="H25">
        <v>21.194030000000001</v>
      </c>
      <c r="J25">
        <v>10.514400000000002</v>
      </c>
      <c r="K25">
        <v>11.041093</v>
      </c>
      <c r="L25">
        <v>10.906254299999997</v>
      </c>
      <c r="N25">
        <v>10.820582433333334</v>
      </c>
      <c r="O25">
        <v>0.27359848430841588</v>
      </c>
      <c r="Q25">
        <v>0.46576783333333438</v>
      </c>
      <c r="S25">
        <v>0.72408560077517992</v>
      </c>
    </row>
    <row r="26" spans="1:19">
      <c r="A26" s="8" t="s">
        <v>380</v>
      </c>
      <c r="B26" s="8">
        <v>33.582299999999996</v>
      </c>
      <c r="C26" s="8">
        <v>32.182429999999997</v>
      </c>
      <c r="D26" s="8">
        <v>32.5824</v>
      </c>
      <c r="E26" s="62"/>
      <c r="F26" s="8">
        <v>20.482399999999998</v>
      </c>
      <c r="G26" s="8">
        <v>20.238399999999999</v>
      </c>
      <c r="H26" s="8">
        <v>20.682300000000001</v>
      </c>
      <c r="I26" s="62"/>
      <c r="J26" s="62">
        <v>13.099899999999998</v>
      </c>
      <c r="K26" s="62">
        <v>11.944029999999998</v>
      </c>
      <c r="L26" s="62">
        <v>11.900099999999998</v>
      </c>
      <c r="M26" s="62"/>
      <c r="N26" s="62">
        <v>12.499999999999998</v>
      </c>
      <c r="O26" s="8">
        <v>0.84838671606761951</v>
      </c>
      <c r="P26" s="8"/>
      <c r="Q26" s="8">
        <v>2.145185399999999</v>
      </c>
      <c r="R26" s="8"/>
      <c r="S26" s="8">
        <v>0.22606579092460688</v>
      </c>
    </row>
    <row r="29" spans="1:19" ht="15.75">
      <c r="A29" s="48"/>
      <c r="B29" s="41" t="s">
        <v>438</v>
      </c>
      <c r="C29" s="42"/>
      <c r="D29" s="42"/>
      <c r="E29" s="42"/>
      <c r="F29" s="42"/>
      <c r="G29" s="42"/>
      <c r="H29" s="42"/>
    </row>
    <row r="30" spans="1:19">
      <c r="A30" s="70" t="s">
        <v>441</v>
      </c>
      <c r="B30" s="175" t="s">
        <v>181</v>
      </c>
      <c r="C30" s="175"/>
      <c r="D30" s="175"/>
      <c r="E30" s="21"/>
      <c r="F30" s="175" t="s">
        <v>799</v>
      </c>
      <c r="G30" s="175"/>
      <c r="H30" s="175"/>
      <c r="I30" s="21"/>
      <c r="J30" s="100" t="s">
        <v>191</v>
      </c>
      <c r="K30" s="21"/>
      <c r="L30" s="21"/>
      <c r="M30" s="21"/>
      <c r="N30" s="21" t="s">
        <v>183</v>
      </c>
      <c r="O30" s="21" t="s">
        <v>58</v>
      </c>
      <c r="P30" s="21"/>
      <c r="Q30" s="21" t="s">
        <v>185</v>
      </c>
      <c r="R30" s="21"/>
      <c r="S30" s="21" t="s">
        <v>186</v>
      </c>
    </row>
    <row r="31" spans="1:19">
      <c r="B31" s="21" t="s">
        <v>187</v>
      </c>
      <c r="C31" s="21" t="s">
        <v>188</v>
      </c>
      <c r="D31" s="21" t="s">
        <v>189</v>
      </c>
      <c r="E31" s="21"/>
      <c r="F31" s="21" t="s">
        <v>190</v>
      </c>
      <c r="G31" s="21" t="s">
        <v>188</v>
      </c>
      <c r="H31" s="21" t="s">
        <v>189</v>
      </c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</row>
    <row r="32" spans="1:19">
      <c r="A32" s="8" t="s">
        <v>378</v>
      </c>
      <c r="B32">
        <v>30.119430000000001</v>
      </c>
      <c r="C32">
        <v>29.399930000000001</v>
      </c>
      <c r="D32">
        <v>30.495920000000002</v>
      </c>
      <c r="F32">
        <v>21.292449999999999</v>
      </c>
      <c r="G32">
        <v>21.110531999999999</v>
      </c>
      <c r="H32">
        <v>21.104012300000001</v>
      </c>
      <c r="J32">
        <v>8.8269800000000025</v>
      </c>
      <c r="K32">
        <v>8.289398000000002</v>
      </c>
      <c r="L32">
        <v>9.3919077000000009</v>
      </c>
      <c r="N32">
        <v>9.1094438500000017</v>
      </c>
      <c r="O32">
        <v>0.39946420755011841</v>
      </c>
      <c r="Q32">
        <v>0</v>
      </c>
      <c r="S32">
        <v>1</v>
      </c>
    </row>
    <row r="33" spans="1:19">
      <c r="A33" s="8" t="s">
        <v>213</v>
      </c>
      <c r="B33">
        <v>32.133200000000002</v>
      </c>
      <c r="C33">
        <v>32.148319999999998</v>
      </c>
      <c r="D33">
        <v>32.190429999999999</v>
      </c>
      <c r="F33">
        <v>21.590122999999998</v>
      </c>
      <c r="G33">
        <v>21.19943</v>
      </c>
      <c r="H33">
        <v>22.491230000000002</v>
      </c>
      <c r="J33">
        <v>10.543077000000004</v>
      </c>
      <c r="K33">
        <v>10.948889999999999</v>
      </c>
      <c r="L33">
        <v>9.6991999999999976</v>
      </c>
      <c r="N33">
        <v>10.397055666666667</v>
      </c>
      <c r="O33">
        <v>0.6375130950547877</v>
      </c>
      <c r="Q33">
        <v>1.287611816666665</v>
      </c>
      <c r="S33">
        <v>0.40962855211340288</v>
      </c>
    </row>
    <row r="34" spans="1:19">
      <c r="A34" s="8" t="s">
        <v>170</v>
      </c>
      <c r="B34">
        <v>32.589320000000001</v>
      </c>
      <c r="C34">
        <v>32.299320000000002</v>
      </c>
      <c r="D34">
        <v>32.109299999999998</v>
      </c>
      <c r="F34">
        <v>23.303699999999999</v>
      </c>
      <c r="G34">
        <v>23.063960000000002</v>
      </c>
      <c r="H34">
        <v>22.138539999999999</v>
      </c>
      <c r="J34">
        <v>9.2856200000000015</v>
      </c>
      <c r="K34">
        <v>9.23536</v>
      </c>
      <c r="L34">
        <v>9.9707599999999985</v>
      </c>
      <c r="N34">
        <v>9.4972466666666673</v>
      </c>
      <c r="O34">
        <v>0.41084385663331063</v>
      </c>
      <c r="Q34">
        <v>0.38780281666666561</v>
      </c>
      <c r="S34">
        <v>0.76429271453420955</v>
      </c>
    </row>
    <row r="35" spans="1:19">
      <c r="A35" s="8" t="s">
        <v>380</v>
      </c>
      <c r="B35" s="8">
        <v>31.384</v>
      </c>
      <c r="C35" s="8">
        <v>30.851199999999999</v>
      </c>
      <c r="D35" s="8">
        <v>31.4758</v>
      </c>
      <c r="E35" s="62"/>
      <c r="F35" s="8">
        <v>20.4481</v>
      </c>
      <c r="G35" s="8">
        <v>20.843440000000001</v>
      </c>
      <c r="H35" s="8">
        <v>20.38354</v>
      </c>
      <c r="I35" s="62"/>
      <c r="J35" s="62">
        <v>10.9359</v>
      </c>
      <c r="K35" s="62">
        <v>10.007759999999998</v>
      </c>
      <c r="L35" s="62">
        <v>11.09226</v>
      </c>
      <c r="M35" s="62"/>
      <c r="N35" s="62">
        <v>11.01408</v>
      </c>
      <c r="O35" s="8">
        <v>0.11056321630632814</v>
      </c>
      <c r="P35" s="8"/>
      <c r="Q35" s="8">
        <v>1.9046361499999982</v>
      </c>
      <c r="R35" s="8"/>
      <c r="S35" s="8">
        <v>0.26708370245619451</v>
      </c>
    </row>
    <row r="38" spans="1:19" ht="15.75">
      <c r="A38" s="41"/>
      <c r="B38" s="41" t="s">
        <v>439</v>
      </c>
      <c r="C38" s="42"/>
      <c r="D38" s="42"/>
      <c r="E38" s="42"/>
      <c r="F38" s="42"/>
      <c r="G38" s="42"/>
      <c r="H38" s="42"/>
    </row>
    <row r="39" spans="1:19">
      <c r="A39" s="70" t="s">
        <v>441</v>
      </c>
      <c r="B39" s="175" t="s">
        <v>181</v>
      </c>
      <c r="C39" s="175"/>
      <c r="D39" s="175"/>
      <c r="E39" s="21"/>
      <c r="F39" s="175" t="s">
        <v>799</v>
      </c>
      <c r="G39" s="175"/>
      <c r="H39" s="175"/>
      <c r="I39" s="21"/>
      <c r="J39" s="100" t="s">
        <v>191</v>
      </c>
      <c r="K39" s="21"/>
      <c r="L39" s="21"/>
      <c r="M39" s="21"/>
      <c r="N39" s="21" t="s">
        <v>183</v>
      </c>
      <c r="O39" s="21" t="s">
        <v>58</v>
      </c>
      <c r="P39" s="21"/>
      <c r="Q39" s="21" t="s">
        <v>185</v>
      </c>
      <c r="R39" s="21"/>
      <c r="S39" s="21" t="s">
        <v>186</v>
      </c>
    </row>
    <row r="40" spans="1:19">
      <c r="B40" s="21" t="s">
        <v>187</v>
      </c>
      <c r="C40" s="21" t="s">
        <v>188</v>
      </c>
      <c r="D40" s="21" t="s">
        <v>189</v>
      </c>
      <c r="E40" s="21"/>
      <c r="F40" s="21" t="s">
        <v>190</v>
      </c>
      <c r="G40" s="21" t="s">
        <v>188</v>
      </c>
      <c r="H40" s="21" t="s">
        <v>189</v>
      </c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</row>
    <row r="41" spans="1:19">
      <c r="A41" s="8" t="s">
        <v>378</v>
      </c>
      <c r="B41">
        <v>30.901199999999999</v>
      </c>
      <c r="C41">
        <v>230.11942999999999</v>
      </c>
      <c r="D41">
        <v>30.6311</v>
      </c>
      <c r="F41">
        <v>21.593432</v>
      </c>
      <c r="G41">
        <v>21.104532299999999</v>
      </c>
      <c r="H41">
        <v>21.14002</v>
      </c>
      <c r="J41">
        <v>9.3077679999999994</v>
      </c>
      <c r="K41">
        <v>209.01489770000001</v>
      </c>
      <c r="L41">
        <v>9.4910800000000002</v>
      </c>
      <c r="N41">
        <v>9.3994239999999998</v>
      </c>
      <c r="O41">
        <v>0.12962115827286896</v>
      </c>
      <c r="Q41">
        <v>0</v>
      </c>
      <c r="S41">
        <v>1</v>
      </c>
    </row>
    <row r="42" spans="1:19">
      <c r="A42" s="8" t="s">
        <v>213</v>
      </c>
      <c r="B42">
        <v>32.831932430000002</v>
      </c>
      <c r="C42">
        <v>32.689123430000002</v>
      </c>
      <c r="D42">
        <v>32.411934299999999</v>
      </c>
      <c r="F42">
        <v>22.192340000000002</v>
      </c>
      <c r="G42">
        <v>22.190234</v>
      </c>
      <c r="H42">
        <v>22.330434</v>
      </c>
      <c r="J42">
        <v>10.63959243</v>
      </c>
      <c r="K42">
        <v>10.498889430000002</v>
      </c>
      <c r="L42">
        <v>10.081500299999998</v>
      </c>
      <c r="N42">
        <v>10.40666072</v>
      </c>
      <c r="O42">
        <v>0.2902521448726661</v>
      </c>
      <c r="Q42">
        <v>1.0072367199999999</v>
      </c>
      <c r="S42">
        <v>0.49749822380829445</v>
      </c>
    </row>
    <row r="43" spans="1:19">
      <c r="A43" s="8" t="s">
        <v>170</v>
      </c>
      <c r="B43">
        <v>32.490229999999997</v>
      </c>
      <c r="C43">
        <v>32.449120000000001</v>
      </c>
      <c r="D43">
        <v>32.104329999999997</v>
      </c>
      <c r="F43">
        <v>22.691946999999999</v>
      </c>
      <c r="G43">
        <v>22.4968</v>
      </c>
      <c r="H43">
        <v>22.604959999999998</v>
      </c>
      <c r="J43">
        <v>9.7982829999999979</v>
      </c>
      <c r="K43">
        <v>9.9523200000000003</v>
      </c>
      <c r="L43">
        <v>9.499369999999999</v>
      </c>
      <c r="N43">
        <v>9.7499909999999996</v>
      </c>
      <c r="O43">
        <v>0.2303041761953096</v>
      </c>
      <c r="Q43">
        <v>0.35056699999999985</v>
      </c>
      <c r="S43">
        <v>0.78427580559358989</v>
      </c>
    </row>
    <row r="44" spans="1:19">
      <c r="A44" s="8" t="s">
        <v>380</v>
      </c>
      <c r="B44" s="8">
        <v>31.291429999999998</v>
      </c>
      <c r="C44" s="8">
        <v>32.832299999999996</v>
      </c>
      <c r="D44" s="8">
        <v>32.284300000000002</v>
      </c>
      <c r="E44" s="62"/>
      <c r="F44" s="8">
        <v>20.482299999999999</v>
      </c>
      <c r="G44" s="8">
        <v>20.118400000000001</v>
      </c>
      <c r="H44" s="8">
        <v>20.3323</v>
      </c>
      <c r="I44" s="62"/>
      <c r="J44" s="62">
        <v>10.80913</v>
      </c>
      <c r="K44" s="62">
        <v>12.713899999999995</v>
      </c>
      <c r="L44" s="62">
        <v>11.952000000000002</v>
      </c>
      <c r="M44" s="62"/>
      <c r="N44" s="62">
        <v>11.380565000000001</v>
      </c>
      <c r="O44" s="8">
        <v>0.80813112701467105</v>
      </c>
      <c r="P44" s="8"/>
      <c r="Q44" s="8">
        <v>1.9811410000000009</v>
      </c>
      <c r="R44" s="8"/>
      <c r="S44" s="8">
        <v>0.25328946889978177</v>
      </c>
    </row>
  </sheetData>
  <mergeCells count="10">
    <mergeCell ref="B30:D30"/>
    <mergeCell ref="F30:H30"/>
    <mergeCell ref="B39:D39"/>
    <mergeCell ref="F39:H39"/>
    <mergeCell ref="B3:D3"/>
    <mergeCell ref="F3:H3"/>
    <mergeCell ref="B12:D12"/>
    <mergeCell ref="F12:H12"/>
    <mergeCell ref="B21:D21"/>
    <mergeCell ref="F21:H21"/>
  </mergeCells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"/>
  <sheetViews>
    <sheetView topLeftCell="B2" workbookViewId="0">
      <selection activeCell="F3" sqref="F3:H3"/>
    </sheetView>
  </sheetViews>
  <sheetFormatPr defaultRowHeight="15"/>
  <cols>
    <col min="1" max="1" width="19.28515625" customWidth="1"/>
    <col min="2" max="2" width="12.28515625" customWidth="1"/>
    <col min="3" max="3" width="11.5703125" customWidth="1"/>
  </cols>
  <sheetData>
    <row r="1" spans="1:19" ht="15.75">
      <c r="A1" s="48" t="s">
        <v>443</v>
      </c>
      <c r="B1" s="42"/>
      <c r="C1" s="42"/>
      <c r="D1" s="41" t="s">
        <v>446</v>
      </c>
      <c r="E1" s="41"/>
      <c r="F1" s="41"/>
      <c r="G1" s="41"/>
      <c r="H1" s="41"/>
      <c r="I1" s="42"/>
    </row>
    <row r="2" spans="1:19" ht="15.75">
      <c r="A2" s="48"/>
      <c r="B2" s="41" t="s">
        <v>435</v>
      </c>
      <c r="C2" s="42"/>
      <c r="D2" s="42"/>
      <c r="E2" s="42"/>
      <c r="F2" s="42"/>
      <c r="G2" s="42"/>
      <c r="H2" s="42"/>
    </row>
    <row r="3" spans="1:19">
      <c r="A3" s="70" t="s">
        <v>442</v>
      </c>
      <c r="B3" s="175" t="s">
        <v>181</v>
      </c>
      <c r="C3" s="175"/>
      <c r="D3" s="175"/>
      <c r="E3" s="21"/>
      <c r="F3" s="175" t="s">
        <v>799</v>
      </c>
      <c r="G3" s="175"/>
      <c r="H3" s="175"/>
      <c r="I3" s="21"/>
      <c r="J3" s="100" t="s">
        <v>191</v>
      </c>
      <c r="K3" s="21"/>
      <c r="L3" s="21"/>
      <c r="M3" s="21"/>
      <c r="N3" s="21" t="s">
        <v>183</v>
      </c>
      <c r="O3" s="21" t="s">
        <v>58</v>
      </c>
      <c r="P3" s="21"/>
      <c r="Q3" s="21" t="s">
        <v>185</v>
      </c>
      <c r="R3" s="21"/>
      <c r="S3" s="21" t="s">
        <v>186</v>
      </c>
    </row>
    <row r="4" spans="1:19">
      <c r="B4" s="21" t="s">
        <v>187</v>
      </c>
      <c r="C4" s="21" t="s">
        <v>188</v>
      </c>
      <c r="D4" s="21" t="s">
        <v>189</v>
      </c>
      <c r="E4" s="21"/>
      <c r="F4" s="21" t="s">
        <v>190</v>
      </c>
      <c r="G4" s="21" t="s">
        <v>188</v>
      </c>
      <c r="H4" s="21" t="s">
        <v>189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</row>
    <row r="5" spans="1:19">
      <c r="A5" s="8" t="s">
        <v>378</v>
      </c>
      <c r="B5" s="8">
        <v>31.104299999999999</v>
      </c>
      <c r="C5" s="8">
        <v>31.550124</v>
      </c>
      <c r="D5" s="8">
        <v>31.104344999999999</v>
      </c>
      <c r="E5" s="62"/>
      <c r="F5" s="8">
        <v>21.903400000000001</v>
      </c>
      <c r="G5" s="8">
        <v>21.419429999999998</v>
      </c>
      <c r="H5" s="8">
        <v>21.69943</v>
      </c>
      <c r="I5" s="62"/>
      <c r="J5" s="62">
        <v>9.2008999999999972</v>
      </c>
      <c r="K5" s="62">
        <v>10.130694000000002</v>
      </c>
      <c r="L5" s="62">
        <v>9.404914999999999</v>
      </c>
      <c r="M5" s="62"/>
      <c r="N5" s="62">
        <v>9.3029074999999981</v>
      </c>
      <c r="O5" s="8">
        <v>0.1442603899637748</v>
      </c>
      <c r="P5" s="8"/>
      <c r="Q5" s="8">
        <v>0</v>
      </c>
      <c r="R5" s="8"/>
      <c r="S5" s="8">
        <v>1</v>
      </c>
    </row>
    <row r="6" spans="1:19">
      <c r="A6" s="8" t="s">
        <v>213</v>
      </c>
      <c r="B6" s="8">
        <v>32.4583923</v>
      </c>
      <c r="C6" s="8">
        <v>32.339184299999999</v>
      </c>
      <c r="D6" s="8">
        <v>32.182929999999999</v>
      </c>
      <c r="E6" s="62"/>
      <c r="F6" s="8">
        <v>22.291034</v>
      </c>
      <c r="G6" s="8">
        <v>22.229234000000002</v>
      </c>
      <c r="H6" s="8">
        <v>22.109435000000001</v>
      </c>
      <c r="I6" s="62"/>
      <c r="J6" s="62">
        <v>10.1673583</v>
      </c>
      <c r="K6" s="62">
        <v>10.109950299999998</v>
      </c>
      <c r="L6" s="62">
        <v>10.073494999999998</v>
      </c>
      <c r="M6" s="62"/>
      <c r="N6" s="62">
        <v>10.116934533333332</v>
      </c>
      <c r="O6" s="8">
        <v>4.7319809891455136E-2</v>
      </c>
      <c r="P6" s="8"/>
      <c r="Q6" s="8">
        <v>0.8140270333333337</v>
      </c>
      <c r="R6" s="8"/>
      <c r="S6" s="8">
        <v>0.56879195576791852</v>
      </c>
    </row>
    <row r="7" spans="1:19">
      <c r="A7" s="8" t="s">
        <v>170</v>
      </c>
      <c r="B7" s="8">
        <v>32.590229999999998</v>
      </c>
      <c r="C7" s="8">
        <v>32.019324300000001</v>
      </c>
      <c r="D7" s="8">
        <v>32.889354900000001</v>
      </c>
      <c r="E7" s="62"/>
      <c r="F7" s="8">
        <v>22.448912</v>
      </c>
      <c r="G7" s="8">
        <v>23.189133999999999</v>
      </c>
      <c r="H7" s="8">
        <v>22.201943</v>
      </c>
      <c r="I7" s="62"/>
      <c r="J7" s="62">
        <v>10.141317999999998</v>
      </c>
      <c r="K7" s="62">
        <v>8.8301903000000017</v>
      </c>
      <c r="L7" s="62">
        <v>10.687411900000001</v>
      </c>
      <c r="M7" s="62"/>
      <c r="N7" s="62">
        <v>9.886306733333333</v>
      </c>
      <c r="O7" s="8">
        <v>0.95451091008528643</v>
      </c>
      <c r="P7" s="8"/>
      <c r="Q7" s="8">
        <v>0.58339923333333488</v>
      </c>
      <c r="R7" s="8"/>
      <c r="S7" s="8">
        <v>0.66738944110743437</v>
      </c>
    </row>
    <row r="8" spans="1:19">
      <c r="A8" s="8" t="s">
        <v>380</v>
      </c>
      <c r="B8" s="8">
        <v>30.383199999999999</v>
      </c>
      <c r="C8" s="8">
        <v>30.549199999999999</v>
      </c>
      <c r="D8" s="8">
        <v>31.558299999999999</v>
      </c>
      <c r="E8" s="62"/>
      <c r="F8" s="8">
        <v>20.194299999999998</v>
      </c>
      <c r="G8" s="8">
        <v>20.2821</v>
      </c>
      <c r="H8" s="8">
        <v>20.1843</v>
      </c>
      <c r="I8" s="62"/>
      <c r="J8" s="62">
        <v>10.1889</v>
      </c>
      <c r="K8" s="62">
        <v>10.267099999999999</v>
      </c>
      <c r="L8" s="62">
        <v>11.373999999999999</v>
      </c>
      <c r="M8" s="62"/>
      <c r="N8" s="62">
        <v>10.78145</v>
      </c>
      <c r="O8" s="8">
        <v>0.83799224638417646</v>
      </c>
      <c r="P8" s="8"/>
      <c r="Q8" s="8">
        <v>1.4785425000000014</v>
      </c>
      <c r="R8" s="8"/>
      <c r="S8" s="8">
        <v>0.35885116263748723</v>
      </c>
    </row>
    <row r="11" spans="1:19" ht="15.75">
      <c r="A11" s="48"/>
      <c r="B11" s="41" t="s">
        <v>436</v>
      </c>
      <c r="C11" s="42"/>
      <c r="D11" s="42"/>
      <c r="E11" s="42"/>
      <c r="F11" s="42"/>
      <c r="G11" s="42"/>
      <c r="H11" s="42"/>
    </row>
    <row r="12" spans="1:19">
      <c r="A12" s="70" t="s">
        <v>442</v>
      </c>
      <c r="B12" s="175" t="s">
        <v>181</v>
      </c>
      <c r="C12" s="175"/>
      <c r="D12" s="175"/>
      <c r="E12" s="21"/>
      <c r="F12" s="175" t="s">
        <v>799</v>
      </c>
      <c r="G12" s="175"/>
      <c r="H12" s="175"/>
      <c r="I12" s="21"/>
      <c r="J12" s="100" t="s">
        <v>191</v>
      </c>
      <c r="K12" s="21"/>
      <c r="L12" s="21"/>
      <c r="M12" s="21"/>
      <c r="N12" s="21" t="s">
        <v>183</v>
      </c>
      <c r="O12" s="21" t="s">
        <v>58</v>
      </c>
      <c r="P12" s="21"/>
      <c r="Q12" s="21" t="s">
        <v>185</v>
      </c>
      <c r="R12" s="21"/>
      <c r="S12" s="21" t="s">
        <v>186</v>
      </c>
    </row>
    <row r="13" spans="1:19">
      <c r="B13" s="21" t="s">
        <v>187</v>
      </c>
      <c r="C13" s="21" t="s">
        <v>188</v>
      </c>
      <c r="D13" s="21" t="s">
        <v>189</v>
      </c>
      <c r="E13" s="21"/>
      <c r="F13" s="21" t="s">
        <v>190</v>
      </c>
      <c r="G13" s="21" t="s">
        <v>188</v>
      </c>
      <c r="H13" s="21" t="s">
        <v>189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</row>
    <row r="14" spans="1:19">
      <c r="A14" s="8" t="s">
        <v>378</v>
      </c>
      <c r="B14">
        <v>30.102952999999999</v>
      </c>
      <c r="C14">
        <v>32.599234000000003</v>
      </c>
      <c r="D14">
        <v>30.154943230000001</v>
      </c>
      <c r="F14">
        <v>21.893450000000001</v>
      </c>
      <c r="G14">
        <v>21.229133000000001</v>
      </c>
      <c r="H14">
        <v>21.954923000000001</v>
      </c>
      <c r="J14">
        <v>8.209502999999998</v>
      </c>
      <c r="K14">
        <v>11.370101000000002</v>
      </c>
      <c r="L14">
        <v>8.2000202299999998</v>
      </c>
      <c r="N14">
        <v>8.2047616149999989</v>
      </c>
      <c r="O14">
        <v>6.7053309714310829E-3</v>
      </c>
      <c r="Q14">
        <v>0</v>
      </c>
      <c r="S14">
        <v>1</v>
      </c>
    </row>
    <row r="15" spans="1:19">
      <c r="A15" s="8" t="s">
        <v>213</v>
      </c>
      <c r="B15">
        <v>32.468699999999998</v>
      </c>
      <c r="C15">
        <v>32.092770000000002</v>
      </c>
      <c r="D15">
        <v>32.19932</v>
      </c>
      <c r="F15">
        <v>23.694352299999998</v>
      </c>
      <c r="G15">
        <v>23.382542999999998</v>
      </c>
      <c r="H15">
        <v>22.559234400000001</v>
      </c>
      <c r="J15">
        <v>8.7743476999999999</v>
      </c>
      <c r="K15">
        <v>8.7102270000000033</v>
      </c>
      <c r="L15">
        <v>9.640085599999999</v>
      </c>
      <c r="N15">
        <v>9.0415534333333341</v>
      </c>
      <c r="O15">
        <v>0.51933460499290984</v>
      </c>
      <c r="Q15">
        <v>0.83679181833333516</v>
      </c>
      <c r="S15">
        <v>0.5598872305253022</v>
      </c>
    </row>
    <row r="16" spans="1:19">
      <c r="A16" s="8" t="s">
        <v>170</v>
      </c>
      <c r="B16">
        <v>32.389539999999997</v>
      </c>
      <c r="C16">
        <v>32.459423999999999</v>
      </c>
      <c r="D16">
        <v>32.679124299999998</v>
      </c>
      <c r="F16">
        <v>23.859234000000001</v>
      </c>
      <c r="G16">
        <v>23.889431999999999</v>
      </c>
      <c r="H16">
        <v>23.988931999999998</v>
      </c>
      <c r="J16">
        <v>8.5303059999999959</v>
      </c>
      <c r="K16">
        <v>8.5699919999999992</v>
      </c>
      <c r="L16">
        <v>8.6901922999999996</v>
      </c>
      <c r="N16">
        <v>8.5968300999999983</v>
      </c>
      <c r="O16">
        <v>8.3253347924454421E-2</v>
      </c>
      <c r="Q16">
        <v>0.39206848499999936</v>
      </c>
      <c r="S16">
        <v>0.76203624031023254</v>
      </c>
    </row>
    <row r="17" spans="1:19">
      <c r="A17" s="8" t="s">
        <v>380</v>
      </c>
      <c r="B17" s="8">
        <v>30.549299999999999</v>
      </c>
      <c r="C17" s="8">
        <v>30.8523</v>
      </c>
      <c r="D17" s="8">
        <v>30.882300000000001</v>
      </c>
      <c r="E17" s="62"/>
      <c r="F17" s="8">
        <v>20.1433</v>
      </c>
      <c r="G17" s="8">
        <v>20.229099999999999</v>
      </c>
      <c r="H17" s="8">
        <v>20.194500000000001</v>
      </c>
      <c r="I17" s="62"/>
      <c r="J17" s="62">
        <v>10.405999999999999</v>
      </c>
      <c r="K17" s="62">
        <v>10.623200000000001</v>
      </c>
      <c r="L17" s="62">
        <v>10.687799999999999</v>
      </c>
      <c r="M17" s="62"/>
      <c r="N17" s="62">
        <v>10.546899999999999</v>
      </c>
      <c r="O17" s="8">
        <v>0.19926269093836946</v>
      </c>
      <c r="P17" s="8"/>
      <c r="Q17" s="8">
        <v>2.3421383850000002</v>
      </c>
      <c r="R17" s="8"/>
      <c r="S17" s="8">
        <v>0.19721779194394229</v>
      </c>
    </row>
    <row r="20" spans="1:19" ht="15.75">
      <c r="A20" s="48"/>
      <c r="B20" s="41" t="s">
        <v>437</v>
      </c>
      <c r="C20" s="42"/>
      <c r="D20" s="42"/>
      <c r="E20" s="42"/>
      <c r="F20" s="42"/>
      <c r="G20" s="42"/>
      <c r="H20" s="42"/>
    </row>
    <row r="21" spans="1:19">
      <c r="A21" s="70" t="s">
        <v>442</v>
      </c>
      <c r="B21" s="175" t="s">
        <v>181</v>
      </c>
      <c r="C21" s="175"/>
      <c r="D21" s="175"/>
      <c r="E21" s="21"/>
      <c r="F21" s="175" t="s">
        <v>799</v>
      </c>
      <c r="G21" s="175"/>
      <c r="H21" s="175"/>
      <c r="I21" s="21"/>
      <c r="J21" s="100" t="s">
        <v>191</v>
      </c>
      <c r="K21" s="21"/>
      <c r="L21" s="21"/>
      <c r="M21" s="21"/>
      <c r="N21" s="21" t="s">
        <v>183</v>
      </c>
      <c r="O21" s="21" t="s">
        <v>58</v>
      </c>
      <c r="P21" s="21"/>
      <c r="Q21" s="21" t="s">
        <v>185</v>
      </c>
      <c r="R21" s="21"/>
      <c r="S21" s="21" t="s">
        <v>186</v>
      </c>
    </row>
    <row r="22" spans="1:19">
      <c r="B22" s="21" t="s">
        <v>187</v>
      </c>
      <c r="C22" s="21" t="s">
        <v>188</v>
      </c>
      <c r="D22" s="21" t="s">
        <v>189</v>
      </c>
      <c r="E22" s="21"/>
      <c r="F22" s="21" t="s">
        <v>190</v>
      </c>
      <c r="G22" s="21" t="s">
        <v>188</v>
      </c>
      <c r="H22" s="21" t="s">
        <v>189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</row>
    <row r="23" spans="1:19">
      <c r="A23" s="8" t="s">
        <v>378</v>
      </c>
      <c r="B23">
        <v>30.930109999999999</v>
      </c>
      <c r="C23">
        <v>30.110323000000001</v>
      </c>
      <c r="D23">
        <v>30.294321</v>
      </c>
      <c r="F23">
        <v>21.118939999999998</v>
      </c>
      <c r="G23">
        <v>21.699829999999999</v>
      </c>
      <c r="H23">
        <v>21.392340000000001</v>
      </c>
      <c r="J23">
        <v>9.8111700000000006</v>
      </c>
      <c r="K23">
        <v>8.4104930000000024</v>
      </c>
      <c r="L23">
        <v>8.9019809999999993</v>
      </c>
      <c r="N23">
        <v>9.3565754999999999</v>
      </c>
      <c r="O23">
        <v>0.64289370728021689</v>
      </c>
      <c r="Q23">
        <v>0</v>
      </c>
      <c r="S23">
        <v>1</v>
      </c>
    </row>
    <row r="24" spans="1:19">
      <c r="A24" s="8" t="s">
        <v>213</v>
      </c>
      <c r="B24">
        <v>32.119309999999999</v>
      </c>
      <c r="C24">
        <v>32.613391</v>
      </c>
      <c r="D24">
        <v>32.588810000000002</v>
      </c>
      <c r="F24">
        <v>22.399549</v>
      </c>
      <c r="G24">
        <v>22.129954900000001</v>
      </c>
      <c r="H24">
        <v>22.12432995</v>
      </c>
      <c r="J24">
        <v>9.7197609999999983</v>
      </c>
      <c r="K24">
        <v>10.483436099999999</v>
      </c>
      <c r="L24">
        <v>10.464480050000002</v>
      </c>
      <c r="N24">
        <v>10.222559049999999</v>
      </c>
      <c r="O24">
        <v>0.43553902496877772</v>
      </c>
      <c r="Q24">
        <v>0.86598354999999927</v>
      </c>
      <c r="S24">
        <v>0.54867222486341904</v>
      </c>
    </row>
    <row r="25" spans="1:19">
      <c r="A25" s="8" t="s">
        <v>170</v>
      </c>
      <c r="B25">
        <v>32.109920000000002</v>
      </c>
      <c r="C25">
        <v>32.492310000000003</v>
      </c>
      <c r="D25">
        <v>32.499119999999998</v>
      </c>
      <c r="F25">
        <v>21.45834</v>
      </c>
      <c r="G25">
        <v>23.984542999999999</v>
      </c>
      <c r="H25">
        <v>21.59948</v>
      </c>
      <c r="J25">
        <v>10.651580000000003</v>
      </c>
      <c r="K25">
        <v>8.5077670000000047</v>
      </c>
      <c r="L25">
        <v>10.899639999999998</v>
      </c>
      <c r="N25">
        <v>10.019662333333335</v>
      </c>
      <c r="O25">
        <v>1.3152011500589218</v>
      </c>
      <c r="Q25">
        <v>0.66308683333333462</v>
      </c>
      <c r="S25">
        <v>0.63152561933806772</v>
      </c>
    </row>
    <row r="26" spans="1:19">
      <c r="A26" s="8" t="s">
        <v>380</v>
      </c>
      <c r="B26" s="8">
        <v>31.943200000000001</v>
      </c>
      <c r="C26" s="8">
        <v>30.843399999999999</v>
      </c>
      <c r="D26" s="8">
        <v>31.394300000000001</v>
      </c>
      <c r="E26" s="62"/>
      <c r="F26" s="8">
        <v>20.2943</v>
      </c>
      <c r="G26" s="8">
        <v>20.444299999999998</v>
      </c>
      <c r="H26" s="8">
        <v>20.2394</v>
      </c>
      <c r="I26" s="62"/>
      <c r="J26" s="62">
        <v>11.648900000000001</v>
      </c>
      <c r="K26" s="62">
        <v>10.399100000000001</v>
      </c>
      <c r="L26" s="62">
        <v>11.154900000000001</v>
      </c>
      <c r="M26" s="62"/>
      <c r="N26" s="62">
        <v>11.401900000000001</v>
      </c>
      <c r="O26" s="8">
        <v>0.34931074990615429</v>
      </c>
      <c r="P26" s="8"/>
      <c r="Q26" s="8">
        <v>2.0453245000000013</v>
      </c>
      <c r="R26" s="8"/>
      <c r="S26" s="8">
        <v>0.24226795567970671</v>
      </c>
    </row>
    <row r="29" spans="1:19" ht="15.75">
      <c r="A29" s="48"/>
      <c r="B29" s="41" t="s">
        <v>438</v>
      </c>
      <c r="C29" s="42"/>
      <c r="D29" s="42"/>
      <c r="E29" s="42"/>
      <c r="F29" s="42"/>
      <c r="G29" s="42"/>
      <c r="H29" s="42"/>
    </row>
    <row r="30" spans="1:19">
      <c r="A30" s="70" t="s">
        <v>442</v>
      </c>
      <c r="B30" s="175" t="s">
        <v>181</v>
      </c>
      <c r="C30" s="175"/>
      <c r="D30" s="175"/>
      <c r="E30" s="21"/>
      <c r="F30" s="175" t="s">
        <v>799</v>
      </c>
      <c r="G30" s="175"/>
      <c r="H30" s="175"/>
      <c r="I30" s="21"/>
      <c r="J30" s="100" t="s">
        <v>191</v>
      </c>
      <c r="K30" s="21"/>
      <c r="L30" s="21"/>
      <c r="M30" s="21"/>
      <c r="N30" s="21" t="s">
        <v>183</v>
      </c>
      <c r="O30" s="21" t="s">
        <v>58</v>
      </c>
      <c r="P30" s="21"/>
      <c r="Q30" s="21" t="s">
        <v>185</v>
      </c>
      <c r="R30" s="21"/>
      <c r="S30" s="21" t="s">
        <v>186</v>
      </c>
    </row>
    <row r="31" spans="1:19">
      <c r="B31" s="21" t="s">
        <v>187</v>
      </c>
      <c r="C31" s="21" t="s">
        <v>188</v>
      </c>
      <c r="D31" s="21" t="s">
        <v>189</v>
      </c>
      <c r="E31" s="21"/>
      <c r="F31" s="21" t="s">
        <v>190</v>
      </c>
      <c r="G31" s="21" t="s">
        <v>188</v>
      </c>
      <c r="H31" s="21" t="s">
        <v>189</v>
      </c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</row>
    <row r="32" spans="1:19">
      <c r="A32" s="8" t="s">
        <v>378</v>
      </c>
      <c r="B32">
        <v>30.439212999999999</v>
      </c>
      <c r="C32">
        <v>30.34994</v>
      </c>
      <c r="D32">
        <v>30.349955000000001</v>
      </c>
      <c r="F32">
        <v>21.549589999999998</v>
      </c>
      <c r="G32">
        <v>21.123239999999999</v>
      </c>
      <c r="H32">
        <v>21.559000000000001</v>
      </c>
      <c r="J32">
        <v>8.8896230000000003</v>
      </c>
      <c r="K32">
        <v>9.226700000000001</v>
      </c>
      <c r="L32">
        <v>8.7909550000000003</v>
      </c>
      <c r="N32">
        <v>8.8402890000000003</v>
      </c>
      <c r="O32">
        <v>6.9768811886114251E-2</v>
      </c>
      <c r="Q32">
        <v>0</v>
      </c>
      <c r="S32">
        <v>1</v>
      </c>
    </row>
    <row r="33" spans="1:19">
      <c r="A33" s="8" t="s">
        <v>213</v>
      </c>
      <c r="B33">
        <v>31.9465</v>
      </c>
      <c r="C33">
        <v>32.659976</v>
      </c>
      <c r="D33">
        <v>31.996500000000001</v>
      </c>
      <c r="F33">
        <v>22.105899999999998</v>
      </c>
      <c r="G33">
        <v>23.565799999999999</v>
      </c>
      <c r="H33">
        <v>23.185496000000001</v>
      </c>
      <c r="J33">
        <v>9.840600000000002</v>
      </c>
      <c r="K33">
        <v>9.0941760000000009</v>
      </c>
      <c r="L33">
        <v>8.8110040000000005</v>
      </c>
      <c r="N33">
        <v>9.2485933333333339</v>
      </c>
      <c r="O33">
        <v>0.53188393041088777</v>
      </c>
      <c r="Q33">
        <v>0.4083043333333336</v>
      </c>
      <c r="S33">
        <v>0.75350848706127382</v>
      </c>
    </row>
    <row r="34" spans="1:19">
      <c r="A34" s="8" t="s">
        <v>170</v>
      </c>
      <c r="B34">
        <v>32.594499999999996</v>
      </c>
      <c r="C34">
        <v>32.677430000000001</v>
      </c>
      <c r="D34">
        <v>32.9101</v>
      </c>
      <c r="F34">
        <v>23.19943</v>
      </c>
      <c r="G34">
        <v>23.959399999999999</v>
      </c>
      <c r="H34">
        <v>23.1234</v>
      </c>
      <c r="J34">
        <v>9.3950699999999969</v>
      </c>
      <c r="K34">
        <v>8.7180300000000024</v>
      </c>
      <c r="L34">
        <v>9.7866999999999997</v>
      </c>
      <c r="N34">
        <v>9.2999333333333336</v>
      </c>
      <c r="O34">
        <v>0.54064973063281141</v>
      </c>
      <c r="Q34">
        <v>0.45964433333333332</v>
      </c>
      <c r="S34">
        <v>0.72716550420167536</v>
      </c>
    </row>
    <row r="35" spans="1:19">
      <c r="A35" s="8" t="s">
        <v>380</v>
      </c>
      <c r="B35" s="8">
        <v>32.858199999999997</v>
      </c>
      <c r="C35" s="8">
        <v>32.778100000000002</v>
      </c>
      <c r="D35" s="8">
        <v>32.581000000000003</v>
      </c>
      <c r="E35" s="62"/>
      <c r="F35" s="8">
        <v>21.183199999999999</v>
      </c>
      <c r="G35" s="8">
        <v>21.1294</v>
      </c>
      <c r="H35" s="8">
        <v>21.284300000000002</v>
      </c>
      <c r="I35" s="62"/>
      <c r="J35" s="62">
        <v>11.674999999999997</v>
      </c>
      <c r="K35" s="62">
        <v>11.648700000000002</v>
      </c>
      <c r="L35" s="62">
        <v>11.296700000000001</v>
      </c>
      <c r="M35" s="62"/>
      <c r="N35" s="62">
        <v>11.485849999999999</v>
      </c>
      <c r="O35" s="8">
        <v>0.26749849532286801</v>
      </c>
      <c r="P35" s="8"/>
      <c r="Q35" s="8">
        <v>2.0212449999999986</v>
      </c>
      <c r="R35" s="8"/>
      <c r="S35" s="8">
        <v>0.24634549602936531</v>
      </c>
    </row>
    <row r="38" spans="1:19" ht="15.75">
      <c r="A38" s="41"/>
      <c r="B38" s="41" t="s">
        <v>439</v>
      </c>
      <c r="C38" s="42"/>
      <c r="D38" s="42"/>
      <c r="E38" s="42"/>
      <c r="F38" s="42"/>
      <c r="G38" s="42"/>
      <c r="H38" s="42"/>
    </row>
    <row r="39" spans="1:19">
      <c r="A39" s="70" t="s">
        <v>442</v>
      </c>
      <c r="B39" s="175" t="s">
        <v>181</v>
      </c>
      <c r="C39" s="175"/>
      <c r="D39" s="175"/>
      <c r="E39" s="21"/>
      <c r="F39" s="175" t="s">
        <v>799</v>
      </c>
      <c r="G39" s="175"/>
      <c r="H39" s="175"/>
      <c r="I39" s="21"/>
      <c r="J39" s="100" t="s">
        <v>191</v>
      </c>
      <c r="K39" s="21"/>
      <c r="L39" s="21"/>
      <c r="M39" s="21"/>
      <c r="N39" s="21" t="s">
        <v>183</v>
      </c>
      <c r="O39" s="21" t="s">
        <v>58</v>
      </c>
      <c r="P39" s="21"/>
      <c r="Q39" s="21" t="s">
        <v>185</v>
      </c>
      <c r="R39" s="21"/>
      <c r="S39" s="21" t="s">
        <v>186</v>
      </c>
    </row>
    <row r="40" spans="1:19">
      <c r="B40" s="21" t="s">
        <v>187</v>
      </c>
      <c r="C40" s="21" t="s">
        <v>188</v>
      </c>
      <c r="D40" s="21" t="s">
        <v>189</v>
      </c>
      <c r="E40" s="21"/>
      <c r="F40" s="21" t="s">
        <v>190</v>
      </c>
      <c r="G40" s="21" t="s">
        <v>188</v>
      </c>
      <c r="H40" s="21" t="s">
        <v>189</v>
      </c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</row>
    <row r="41" spans="1:19">
      <c r="A41" s="8" t="s">
        <v>378</v>
      </c>
      <c r="B41">
        <v>31.596800000000002</v>
      </c>
      <c r="C41">
        <v>31.289300000000001</v>
      </c>
      <c r="D41">
        <v>31.785599999999999</v>
      </c>
      <c r="F41">
        <v>23.4985</v>
      </c>
      <c r="G41">
        <v>23.189430000000002</v>
      </c>
      <c r="H41">
        <v>23.895600000000002</v>
      </c>
      <c r="J41">
        <v>8.0983000000000018</v>
      </c>
      <c r="K41">
        <v>8.0998699999999992</v>
      </c>
      <c r="L41">
        <v>7.889999999999997</v>
      </c>
      <c r="N41">
        <v>7.9941499999999994</v>
      </c>
      <c r="O41">
        <v>0.14729034252116124</v>
      </c>
      <c r="Q41">
        <v>0</v>
      </c>
      <c r="S41">
        <v>1</v>
      </c>
    </row>
    <row r="42" spans="1:19">
      <c r="A42" s="8" t="s">
        <v>213</v>
      </c>
      <c r="B42">
        <v>31.48893</v>
      </c>
      <c r="C42">
        <v>31.490500000000001</v>
      </c>
      <c r="D42">
        <v>30.299018</v>
      </c>
      <c r="F42">
        <v>21.389389999999999</v>
      </c>
      <c r="G42">
        <v>21.284990000000001</v>
      </c>
      <c r="H42">
        <v>21.338950000000001</v>
      </c>
      <c r="J42">
        <v>10.099540000000001</v>
      </c>
      <c r="K42">
        <v>10.20551</v>
      </c>
      <c r="L42">
        <v>8.9600679999999997</v>
      </c>
      <c r="N42">
        <v>9.7550393333333343</v>
      </c>
      <c r="O42">
        <v>0.69050124970294879</v>
      </c>
      <c r="Q42">
        <v>1.7608893333333349</v>
      </c>
      <c r="S42">
        <v>0.29506621899046376</v>
      </c>
    </row>
    <row r="43" spans="1:19">
      <c r="A43" s="8" t="s">
        <v>170</v>
      </c>
      <c r="B43">
        <v>30.332940000000001</v>
      </c>
      <c r="C43">
        <v>31.23968</v>
      </c>
      <c r="D43">
        <v>31.299499999999998</v>
      </c>
      <c r="F43">
        <v>22.858899999999998</v>
      </c>
      <c r="G43">
        <v>22.1995</v>
      </c>
      <c r="H43">
        <v>22.5868</v>
      </c>
      <c r="J43">
        <v>7.4740400000000022</v>
      </c>
      <c r="K43">
        <v>9.0401799999999994</v>
      </c>
      <c r="L43">
        <v>8.7126999999999981</v>
      </c>
      <c r="N43">
        <v>8.4089733333333339</v>
      </c>
      <c r="O43">
        <v>0.82606660804884868</v>
      </c>
      <c r="Q43">
        <v>0.41482333333333443</v>
      </c>
      <c r="S43">
        <v>0.75011134465524665</v>
      </c>
    </row>
    <row r="44" spans="1:19">
      <c r="A44" s="8" t="s">
        <v>380</v>
      </c>
      <c r="B44" s="8">
        <v>31.385100000000001</v>
      </c>
      <c r="C44" s="8">
        <v>31.831</v>
      </c>
      <c r="D44" s="8">
        <v>31.338100000000001</v>
      </c>
      <c r="E44" s="62"/>
      <c r="F44" s="8">
        <v>22.218399999999999</v>
      </c>
      <c r="G44" s="8">
        <v>22.128399999999999</v>
      </c>
      <c r="H44" s="8">
        <v>22.2118</v>
      </c>
      <c r="I44" s="62"/>
      <c r="J44" s="62">
        <v>9.1667000000000023</v>
      </c>
      <c r="K44" s="62">
        <v>9.7026000000000003</v>
      </c>
      <c r="L44" s="62">
        <v>9.1263000000000005</v>
      </c>
      <c r="M44" s="62"/>
      <c r="N44" s="62">
        <v>9.1465000000000014</v>
      </c>
      <c r="O44" s="8">
        <v>2.856711395993777E-2</v>
      </c>
      <c r="P44" s="8"/>
      <c r="Q44" s="8">
        <v>1.152350000000002</v>
      </c>
      <c r="R44" s="8"/>
      <c r="S44" s="8">
        <v>0.44989180722317562</v>
      </c>
    </row>
  </sheetData>
  <mergeCells count="10">
    <mergeCell ref="B30:D30"/>
    <mergeCell ref="F30:H30"/>
    <mergeCell ref="B39:D39"/>
    <mergeCell ref="F39:H39"/>
    <mergeCell ref="B3:D3"/>
    <mergeCell ref="F3:H3"/>
    <mergeCell ref="B12:D12"/>
    <mergeCell ref="F12:H12"/>
    <mergeCell ref="B21:D21"/>
    <mergeCell ref="F21:H21"/>
  </mergeCells>
  <pageMargins left="0.7" right="0.7" top="0.75" bottom="0.75" header="0.3" footer="0.3"/>
  <pageSetup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"/>
  <sheetViews>
    <sheetView topLeftCell="A23" workbookViewId="0">
      <selection activeCell="F39" sqref="F39:H39"/>
    </sheetView>
  </sheetViews>
  <sheetFormatPr defaultRowHeight="15"/>
  <cols>
    <col min="1" max="1" width="19.28515625" customWidth="1"/>
    <col min="2" max="2" width="12.28515625" customWidth="1"/>
    <col min="3" max="3" width="11.5703125" customWidth="1"/>
  </cols>
  <sheetData>
    <row r="1" spans="1:19" ht="15.75">
      <c r="A1" s="48" t="s">
        <v>448</v>
      </c>
      <c r="B1" s="42"/>
      <c r="C1" s="42"/>
      <c r="D1" s="41" t="s">
        <v>447</v>
      </c>
      <c r="E1" s="41"/>
      <c r="F1" s="41"/>
      <c r="G1" s="41"/>
      <c r="H1" s="41"/>
      <c r="I1" s="42"/>
    </row>
    <row r="2" spans="1:19" ht="15.75">
      <c r="A2" s="48"/>
      <c r="B2" s="41" t="s">
        <v>435</v>
      </c>
      <c r="C2" s="42"/>
      <c r="D2" s="42"/>
      <c r="E2" s="42"/>
      <c r="F2" s="42"/>
      <c r="G2" s="42"/>
      <c r="H2" s="42"/>
    </row>
    <row r="3" spans="1:19">
      <c r="A3" s="70" t="s">
        <v>449</v>
      </c>
      <c r="B3" s="175" t="s">
        <v>181</v>
      </c>
      <c r="C3" s="175"/>
      <c r="D3" s="175"/>
      <c r="E3" s="21"/>
      <c r="F3" s="175" t="s">
        <v>799</v>
      </c>
      <c r="G3" s="175"/>
      <c r="H3" s="175"/>
      <c r="I3" s="21"/>
      <c r="J3" s="100" t="s">
        <v>191</v>
      </c>
      <c r="K3" s="21"/>
      <c r="L3" s="21"/>
      <c r="M3" s="21"/>
      <c r="N3" s="21" t="s">
        <v>183</v>
      </c>
      <c r="O3" s="21" t="s">
        <v>58</v>
      </c>
      <c r="P3" s="21"/>
      <c r="Q3" s="21" t="s">
        <v>185</v>
      </c>
      <c r="R3" s="21"/>
      <c r="S3" s="21" t="s">
        <v>186</v>
      </c>
    </row>
    <row r="4" spans="1:19">
      <c r="B4" s="21" t="s">
        <v>187</v>
      </c>
      <c r="C4" s="21" t="s">
        <v>188</v>
      </c>
      <c r="D4" s="21" t="s">
        <v>189</v>
      </c>
      <c r="E4" s="21"/>
      <c r="F4" s="21" t="s">
        <v>190</v>
      </c>
      <c r="G4" s="21" t="s">
        <v>188</v>
      </c>
      <c r="H4" s="21" t="s">
        <v>189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</row>
    <row r="5" spans="1:19">
      <c r="A5" s="8" t="s">
        <v>378</v>
      </c>
      <c r="B5" s="8">
        <v>31.282432</v>
      </c>
      <c r="C5" s="8">
        <v>28.9128142</v>
      </c>
      <c r="D5" s="8">
        <v>31.594341230000001</v>
      </c>
      <c r="E5" s="62"/>
      <c r="F5" s="8">
        <v>21.182099999999998</v>
      </c>
      <c r="G5" s="8">
        <v>21.01923</v>
      </c>
      <c r="H5" s="8">
        <v>21.349299999999999</v>
      </c>
      <c r="I5" s="62"/>
      <c r="J5" s="62">
        <v>10.100332000000002</v>
      </c>
      <c r="K5" s="62">
        <v>7.8935841999999994</v>
      </c>
      <c r="L5" s="62">
        <v>10.245041230000002</v>
      </c>
      <c r="M5" s="62"/>
      <c r="N5" s="62">
        <v>10.172686615000002</v>
      </c>
      <c r="O5" s="8">
        <v>0.10232487783328387</v>
      </c>
      <c r="P5" s="8"/>
      <c r="Q5" s="8">
        <v>0</v>
      </c>
      <c r="R5" s="8"/>
      <c r="S5" s="8">
        <v>1</v>
      </c>
    </row>
    <row r="6" spans="1:19">
      <c r="A6" s="8" t="s">
        <v>213</v>
      </c>
      <c r="B6" s="8">
        <v>31.804300000000001</v>
      </c>
      <c r="C6" s="8">
        <v>31.5396</v>
      </c>
      <c r="D6" s="8">
        <v>31.992999999999999</v>
      </c>
      <c r="E6" s="62"/>
      <c r="F6" s="8">
        <v>21.795999999999999</v>
      </c>
      <c r="G6" s="8">
        <v>21.11</v>
      </c>
      <c r="H6" s="8">
        <v>21.692</v>
      </c>
      <c r="I6" s="62"/>
      <c r="J6" s="62">
        <v>10.008300000000002</v>
      </c>
      <c r="K6" s="62">
        <v>10.429600000000001</v>
      </c>
      <c r="L6" s="62">
        <v>10.300999999999998</v>
      </c>
      <c r="M6" s="62"/>
      <c r="N6" s="62">
        <v>10.15465</v>
      </c>
      <c r="O6" s="8">
        <v>0.20697015485329992</v>
      </c>
      <c r="P6" s="8"/>
      <c r="Q6" s="8">
        <v>-1.8036615000001532E-2</v>
      </c>
      <c r="R6" s="8"/>
      <c r="S6" s="8">
        <v>1.0125805058964059</v>
      </c>
    </row>
    <row r="7" spans="1:19">
      <c r="A7" s="8" t="s">
        <v>170</v>
      </c>
      <c r="B7" s="8">
        <v>31.898399999999999</v>
      </c>
      <c r="C7" s="8">
        <v>28.918299999999999</v>
      </c>
      <c r="D7" s="8">
        <v>31.747800000000002</v>
      </c>
      <c r="E7" s="62"/>
      <c r="F7" s="8">
        <v>21.377199999999998</v>
      </c>
      <c r="G7" s="8">
        <v>21.1782</v>
      </c>
      <c r="H7" s="8">
        <v>21.648299999999999</v>
      </c>
      <c r="I7" s="62"/>
      <c r="J7" s="62">
        <v>10.5212</v>
      </c>
      <c r="K7" s="62">
        <v>7.7400999999999982</v>
      </c>
      <c r="L7" s="62">
        <v>10.099500000000003</v>
      </c>
      <c r="M7" s="62"/>
      <c r="N7" s="62">
        <v>10.310350000000001</v>
      </c>
      <c r="O7" s="8">
        <v>0.2981869296263655</v>
      </c>
      <c r="P7" s="8"/>
      <c r="Q7" s="8">
        <v>0.13766338499999975</v>
      </c>
      <c r="R7" s="8"/>
      <c r="S7" s="8">
        <v>0.9089901806946793</v>
      </c>
    </row>
    <row r="8" spans="1:19">
      <c r="A8" s="8" t="s">
        <v>380</v>
      </c>
      <c r="B8" s="8">
        <v>34.6893423</v>
      </c>
      <c r="C8" s="8">
        <v>34.999122999999997</v>
      </c>
      <c r="D8" s="8">
        <v>34.489123499999998</v>
      </c>
      <c r="E8" s="62"/>
      <c r="F8" s="8">
        <v>21.581230000000001</v>
      </c>
      <c r="G8" s="8">
        <v>21.193429999999999</v>
      </c>
      <c r="H8" s="8">
        <v>21.019300000000001</v>
      </c>
      <c r="I8" s="62"/>
      <c r="J8" s="62">
        <v>13.108112299999998</v>
      </c>
      <c r="K8" s="62">
        <v>13.805692999999998</v>
      </c>
      <c r="L8" s="62">
        <v>13.469823499999997</v>
      </c>
      <c r="M8" s="62"/>
      <c r="N8" s="62">
        <v>13.461209599999998</v>
      </c>
      <c r="O8" s="8">
        <v>0.34887011581393707</v>
      </c>
      <c r="P8" s="8"/>
      <c r="Q8" s="8">
        <v>3.2885229849999966</v>
      </c>
      <c r="R8" s="8"/>
      <c r="S8" s="8">
        <v>0.10234248078706361</v>
      </c>
    </row>
    <row r="11" spans="1:19" ht="15.75">
      <c r="A11" s="48"/>
      <c r="B11" s="41" t="s">
        <v>436</v>
      </c>
      <c r="C11" s="42"/>
      <c r="D11" s="42"/>
      <c r="E11" s="42"/>
      <c r="F11" s="42"/>
      <c r="G11" s="42"/>
      <c r="H11" s="42"/>
    </row>
    <row r="12" spans="1:19">
      <c r="A12" s="70" t="s">
        <v>449</v>
      </c>
      <c r="B12" s="175" t="s">
        <v>181</v>
      </c>
      <c r="C12" s="175"/>
      <c r="D12" s="175"/>
      <c r="E12" s="21"/>
      <c r="F12" s="175" t="s">
        <v>799</v>
      </c>
      <c r="G12" s="175"/>
      <c r="H12" s="175"/>
      <c r="I12" s="21"/>
      <c r="J12" s="100" t="s">
        <v>191</v>
      </c>
      <c r="K12" s="21"/>
      <c r="L12" s="21"/>
      <c r="M12" s="21"/>
      <c r="N12" s="21" t="s">
        <v>183</v>
      </c>
      <c r="O12" s="21" t="s">
        <v>58</v>
      </c>
      <c r="P12" s="21"/>
      <c r="Q12" s="21" t="s">
        <v>185</v>
      </c>
      <c r="R12" s="21"/>
      <c r="S12" s="21" t="s">
        <v>186</v>
      </c>
    </row>
    <row r="13" spans="1:19">
      <c r="B13" s="21" t="s">
        <v>187</v>
      </c>
      <c r="C13" s="21" t="s">
        <v>188</v>
      </c>
      <c r="D13" s="21" t="s">
        <v>189</v>
      </c>
      <c r="E13" s="21"/>
      <c r="F13" s="21" t="s">
        <v>190</v>
      </c>
      <c r="G13" s="21" t="s">
        <v>188</v>
      </c>
      <c r="H13" s="21" t="s">
        <v>189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</row>
    <row r="14" spans="1:19">
      <c r="A14" s="8" t="s">
        <v>378</v>
      </c>
      <c r="B14">
        <v>31.342300000000002</v>
      </c>
      <c r="C14">
        <v>28.482934199999999</v>
      </c>
      <c r="D14">
        <v>31.781230000000001</v>
      </c>
      <c r="F14">
        <v>22.912299999999998</v>
      </c>
      <c r="G14">
        <v>22.118200000000002</v>
      </c>
      <c r="H14">
        <v>20.834199999999999</v>
      </c>
      <c r="J14">
        <v>8.4300000000000033</v>
      </c>
      <c r="K14">
        <v>6.3647341999999973</v>
      </c>
      <c r="L14">
        <v>10.947030000000002</v>
      </c>
      <c r="N14">
        <v>9.6885150000000024</v>
      </c>
      <c r="O14">
        <v>1.7798089814499709</v>
      </c>
      <c r="Q14">
        <v>0</v>
      </c>
      <c r="S14">
        <v>1</v>
      </c>
    </row>
    <row r="15" spans="1:19">
      <c r="A15" s="8" t="s">
        <v>213</v>
      </c>
      <c r="B15">
        <v>31.7912</v>
      </c>
      <c r="C15">
        <v>31.592400000000001</v>
      </c>
      <c r="D15">
        <v>31.692</v>
      </c>
      <c r="F15">
        <v>21.548999999999999</v>
      </c>
      <c r="G15">
        <v>21.4496</v>
      </c>
      <c r="H15">
        <v>21.234999999999999</v>
      </c>
      <c r="J15">
        <v>10.2422</v>
      </c>
      <c r="K15">
        <v>10.142800000000001</v>
      </c>
      <c r="L15">
        <v>10.457000000000001</v>
      </c>
      <c r="N15">
        <v>10.349600000000001</v>
      </c>
      <c r="O15">
        <v>0.15188653659887064</v>
      </c>
      <c r="Q15">
        <v>0.66108499999999815</v>
      </c>
      <c r="S15">
        <v>0.63240251049787077</v>
      </c>
    </row>
    <row r="16" spans="1:19">
      <c r="A16" s="8" t="s">
        <v>170</v>
      </c>
      <c r="B16">
        <v>31.5837</v>
      </c>
      <c r="C16">
        <v>28.738099999999999</v>
      </c>
      <c r="D16">
        <v>31.718299999999999</v>
      </c>
      <c r="F16">
        <v>22.383099999999999</v>
      </c>
      <c r="G16">
        <v>22.188300000000002</v>
      </c>
      <c r="H16">
        <v>20.6173</v>
      </c>
      <c r="J16">
        <v>9.2006000000000014</v>
      </c>
      <c r="K16">
        <v>6.5497999999999976</v>
      </c>
      <c r="L16">
        <v>11.100999999999999</v>
      </c>
      <c r="N16">
        <v>10.1508</v>
      </c>
      <c r="O16">
        <v>1.3437857269669133</v>
      </c>
      <c r="Q16">
        <v>0.46228499999999784</v>
      </c>
      <c r="S16">
        <v>0.72583573915431854</v>
      </c>
    </row>
    <row r="17" spans="1:19">
      <c r="A17" s="8" t="s">
        <v>380</v>
      </c>
      <c r="B17" s="8">
        <v>34.583249000000002</v>
      </c>
      <c r="C17" s="8">
        <v>34.589233999999998</v>
      </c>
      <c r="D17" s="8">
        <v>34.881929999999997</v>
      </c>
      <c r="E17" s="62"/>
      <c r="F17" s="8">
        <v>23.834199999999999</v>
      </c>
      <c r="G17" s="8">
        <v>23.1829</v>
      </c>
      <c r="H17" s="8">
        <v>23.38531</v>
      </c>
      <c r="I17" s="62"/>
      <c r="J17" s="62">
        <v>10.749049000000003</v>
      </c>
      <c r="K17" s="62">
        <v>11.406333999999998</v>
      </c>
      <c r="L17" s="62">
        <v>11.496619999999997</v>
      </c>
      <c r="M17" s="62"/>
      <c r="N17" s="62">
        <v>11.217334333333332</v>
      </c>
      <c r="O17" s="8">
        <v>0.4080517804278404</v>
      </c>
      <c r="P17" s="8"/>
      <c r="Q17" s="8">
        <v>1.5288193333333293</v>
      </c>
      <c r="R17" s="8"/>
      <c r="S17" s="8">
        <v>0.34656086802436675</v>
      </c>
    </row>
    <row r="20" spans="1:19" ht="15.75">
      <c r="A20" s="48"/>
      <c r="B20" s="41" t="s">
        <v>437</v>
      </c>
      <c r="C20" s="42"/>
      <c r="D20" s="42"/>
      <c r="E20" s="42"/>
      <c r="F20" s="42"/>
      <c r="G20" s="42"/>
      <c r="H20" s="42"/>
    </row>
    <row r="21" spans="1:19">
      <c r="A21" s="70" t="s">
        <v>449</v>
      </c>
      <c r="B21" s="175" t="s">
        <v>181</v>
      </c>
      <c r="C21" s="175"/>
      <c r="D21" s="175"/>
      <c r="E21" s="21"/>
      <c r="F21" s="175" t="s">
        <v>799</v>
      </c>
      <c r="G21" s="175"/>
      <c r="H21" s="175"/>
      <c r="I21" s="21"/>
      <c r="J21" s="100" t="s">
        <v>191</v>
      </c>
      <c r="K21" s="21"/>
      <c r="L21" s="21"/>
      <c r="M21" s="21"/>
      <c r="N21" s="21" t="s">
        <v>183</v>
      </c>
      <c r="O21" s="21" t="s">
        <v>58</v>
      </c>
      <c r="P21" s="21"/>
      <c r="Q21" s="21" t="s">
        <v>185</v>
      </c>
      <c r="R21" s="21"/>
      <c r="S21" s="21" t="s">
        <v>186</v>
      </c>
    </row>
    <row r="22" spans="1:19">
      <c r="B22" s="21" t="s">
        <v>187</v>
      </c>
      <c r="C22" s="21" t="s">
        <v>188</v>
      </c>
      <c r="D22" s="21" t="s">
        <v>189</v>
      </c>
      <c r="E22" s="21"/>
      <c r="F22" s="21" t="s">
        <v>190</v>
      </c>
      <c r="G22" s="21" t="s">
        <v>188</v>
      </c>
      <c r="H22" s="21" t="s">
        <v>189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</row>
    <row r="23" spans="1:19">
      <c r="A23" s="8" t="s">
        <v>378</v>
      </c>
      <c r="B23">
        <v>31.782910000000001</v>
      </c>
      <c r="C23">
        <v>28.395823</v>
      </c>
      <c r="D23">
        <v>31.118179999999999</v>
      </c>
      <c r="F23">
        <v>20.228100000000001</v>
      </c>
      <c r="G23">
        <v>20.2942</v>
      </c>
      <c r="H23">
        <v>20.48293</v>
      </c>
      <c r="J23">
        <v>11.55481</v>
      </c>
      <c r="K23">
        <v>8.101623</v>
      </c>
      <c r="L23">
        <v>10.635249999999999</v>
      </c>
      <c r="N23">
        <v>11.09503</v>
      </c>
      <c r="O23">
        <v>0.65022711170790204</v>
      </c>
      <c r="Q23">
        <v>0</v>
      </c>
      <c r="S23">
        <v>1</v>
      </c>
    </row>
    <row r="24" spans="1:19">
      <c r="A24" s="8" t="s">
        <v>213</v>
      </c>
      <c r="B24">
        <v>31.919</v>
      </c>
      <c r="C24">
        <v>31.890999999999998</v>
      </c>
      <c r="D24">
        <v>31.694500000000001</v>
      </c>
      <c r="F24">
        <v>20.559000000000001</v>
      </c>
      <c r="G24">
        <v>20.149000000000001</v>
      </c>
      <c r="H24">
        <v>20.396000000000001</v>
      </c>
      <c r="J24">
        <v>11.36</v>
      </c>
      <c r="K24">
        <v>11.741999999999997</v>
      </c>
      <c r="L24">
        <v>11.298500000000001</v>
      </c>
      <c r="N24">
        <v>11.32925</v>
      </c>
      <c r="O24">
        <v>4.3487067042971811E-2</v>
      </c>
      <c r="Q24">
        <v>0.23422000000000054</v>
      </c>
      <c r="S24">
        <v>0.85014450961971377</v>
      </c>
    </row>
    <row r="25" spans="1:19">
      <c r="A25" s="8" t="s">
        <v>170</v>
      </c>
      <c r="B25">
        <v>31.173300000000001</v>
      </c>
      <c r="C25">
        <v>28.199300000000001</v>
      </c>
      <c r="D25">
        <v>31.674399999999999</v>
      </c>
      <c r="F25">
        <v>20.778199999999998</v>
      </c>
      <c r="G25">
        <v>20.9483</v>
      </c>
      <c r="H25">
        <v>20.1873</v>
      </c>
      <c r="J25">
        <v>10.395100000000003</v>
      </c>
      <c r="K25">
        <v>7.2510000000000012</v>
      </c>
      <c r="L25">
        <v>11.487099999999998</v>
      </c>
      <c r="N25">
        <v>10.9411</v>
      </c>
      <c r="O25">
        <v>0.77216060505570649</v>
      </c>
      <c r="Q25">
        <v>-0.15392999999999901</v>
      </c>
      <c r="S25">
        <v>1.1125961357739411</v>
      </c>
    </row>
    <row r="26" spans="1:19">
      <c r="A26" s="8" t="s">
        <v>380</v>
      </c>
      <c r="B26" s="8">
        <v>35.01943</v>
      </c>
      <c r="C26" s="8">
        <v>35.129429999999999</v>
      </c>
      <c r="D26" s="8">
        <v>35.389400000000002</v>
      </c>
      <c r="E26" s="62"/>
      <c r="F26" s="8">
        <v>21.853200000000001</v>
      </c>
      <c r="G26" s="8">
        <v>21.33812</v>
      </c>
      <c r="H26" s="8">
        <v>21.785340000000001</v>
      </c>
      <c r="I26" s="62"/>
      <c r="J26" s="62">
        <v>13.166229999999999</v>
      </c>
      <c r="K26" s="62">
        <v>13.791309999999999</v>
      </c>
      <c r="L26" s="62">
        <v>13.60406</v>
      </c>
      <c r="M26" s="62"/>
      <c r="N26" s="62">
        <v>13.520533333333333</v>
      </c>
      <c r="O26" s="8">
        <v>0.32080177623157513</v>
      </c>
      <c r="P26" s="8"/>
      <c r="Q26" s="8">
        <v>2.4255033333333333</v>
      </c>
      <c r="R26" s="8"/>
      <c r="S26" s="8">
        <v>0.18614472862768425</v>
      </c>
    </row>
    <row r="29" spans="1:19" ht="15.75">
      <c r="A29" s="48"/>
      <c r="B29" s="41" t="s">
        <v>438</v>
      </c>
      <c r="C29" s="42"/>
      <c r="D29" s="42"/>
      <c r="E29" s="42"/>
      <c r="F29" s="42"/>
      <c r="G29" s="42"/>
      <c r="H29" s="42"/>
    </row>
    <row r="30" spans="1:19">
      <c r="A30" s="70" t="s">
        <v>449</v>
      </c>
      <c r="B30" s="175" t="s">
        <v>181</v>
      </c>
      <c r="C30" s="175"/>
      <c r="D30" s="175"/>
      <c r="E30" s="21"/>
      <c r="F30" s="175" t="s">
        <v>799</v>
      </c>
      <c r="G30" s="175"/>
      <c r="H30" s="175"/>
      <c r="I30" s="21"/>
      <c r="J30" s="100" t="s">
        <v>191</v>
      </c>
      <c r="K30" s="21"/>
      <c r="L30" s="21"/>
      <c r="M30" s="21"/>
      <c r="N30" s="21" t="s">
        <v>183</v>
      </c>
      <c r="O30" s="21" t="s">
        <v>58</v>
      </c>
      <c r="P30" s="21"/>
      <c r="Q30" s="21" t="s">
        <v>185</v>
      </c>
      <c r="R30" s="21"/>
      <c r="S30" s="21" t="s">
        <v>186</v>
      </c>
    </row>
    <row r="31" spans="1:19">
      <c r="B31" s="21" t="s">
        <v>187</v>
      </c>
      <c r="C31" s="21" t="s">
        <v>188</v>
      </c>
      <c r="D31" s="21" t="s">
        <v>189</v>
      </c>
      <c r="E31" s="21"/>
      <c r="F31" s="21" t="s">
        <v>190</v>
      </c>
      <c r="G31" s="21" t="s">
        <v>188</v>
      </c>
      <c r="H31" s="21" t="s">
        <v>189</v>
      </c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</row>
    <row r="32" spans="1:19">
      <c r="A32" s="8" t="s">
        <v>378</v>
      </c>
      <c r="B32">
        <v>31.8812</v>
      </c>
      <c r="C32">
        <v>28.738130000000002</v>
      </c>
      <c r="D32">
        <v>31.189430000000002</v>
      </c>
      <c r="F32">
        <v>21.2941</v>
      </c>
      <c r="G32">
        <v>21.38419</v>
      </c>
      <c r="H32">
        <v>21.77582</v>
      </c>
      <c r="J32">
        <v>10.5871</v>
      </c>
      <c r="K32">
        <v>7.3539400000000015</v>
      </c>
      <c r="L32">
        <v>9.413610000000002</v>
      </c>
      <c r="N32">
        <v>10.000355000000001</v>
      </c>
      <c r="O32">
        <v>0.8297827366545999</v>
      </c>
      <c r="Q32">
        <v>0</v>
      </c>
      <c r="S32">
        <v>1</v>
      </c>
    </row>
    <row r="33" spans="1:19">
      <c r="A33" s="8" t="s">
        <v>213</v>
      </c>
      <c r="B33">
        <v>31.815000000000001</v>
      </c>
      <c r="C33">
        <v>31.792999999999999</v>
      </c>
      <c r="D33">
        <v>31.995999999999999</v>
      </c>
      <c r="F33">
        <v>21.585999999999999</v>
      </c>
      <c r="G33">
        <v>21.119499999999999</v>
      </c>
      <c r="H33">
        <v>21.187000000000001</v>
      </c>
      <c r="J33">
        <v>10.229000000000003</v>
      </c>
      <c r="K33">
        <v>10.673500000000001</v>
      </c>
      <c r="L33">
        <v>10.808999999999997</v>
      </c>
      <c r="N33">
        <v>10.519</v>
      </c>
      <c r="O33">
        <v>0.41012193308819384</v>
      </c>
      <c r="Q33">
        <v>0.51864499999999936</v>
      </c>
      <c r="S33">
        <v>0.69802712254420374</v>
      </c>
    </row>
    <row r="34" spans="1:19">
      <c r="A34" s="8" t="s">
        <v>170</v>
      </c>
      <c r="B34">
        <v>31.893000000000001</v>
      </c>
      <c r="C34">
        <v>28.478200000000001</v>
      </c>
      <c r="D34">
        <v>31.672699999999999</v>
      </c>
      <c r="F34">
        <v>21.1783</v>
      </c>
      <c r="G34">
        <v>21.748899999999999</v>
      </c>
      <c r="H34">
        <v>21.718299999999999</v>
      </c>
      <c r="J34">
        <v>10.714700000000001</v>
      </c>
      <c r="K34">
        <v>6.7293000000000021</v>
      </c>
      <c r="L34">
        <v>9.9543999999999997</v>
      </c>
      <c r="N34">
        <v>10.33455</v>
      </c>
      <c r="O34">
        <v>0.53761328573613276</v>
      </c>
      <c r="Q34">
        <v>0.33419499999999935</v>
      </c>
      <c r="S34">
        <v>0.79322662049986736</v>
      </c>
    </row>
    <row r="35" spans="1:19">
      <c r="A35" s="8" t="s">
        <v>380</v>
      </c>
      <c r="B35" s="8">
        <v>35.278120000000001</v>
      </c>
      <c r="C35" s="8">
        <v>34.718234000000002</v>
      </c>
      <c r="D35" s="8">
        <v>34.377490999999999</v>
      </c>
      <c r="E35" s="62"/>
      <c r="F35" s="8">
        <v>23.475829999999998</v>
      </c>
      <c r="G35" s="8">
        <v>23.85932</v>
      </c>
      <c r="H35" s="8">
        <v>23.1919</v>
      </c>
      <c r="I35" s="62"/>
      <c r="J35" s="62">
        <v>11.802290000000003</v>
      </c>
      <c r="K35" s="62">
        <v>10.858914000000002</v>
      </c>
      <c r="L35" s="62">
        <v>11.185590999999999</v>
      </c>
      <c r="M35" s="62"/>
      <c r="N35" s="62">
        <v>11.282265000000001</v>
      </c>
      <c r="O35" s="8">
        <v>0.47906050353895874</v>
      </c>
      <c r="P35" s="8"/>
      <c r="Q35" s="8">
        <v>1.2819099999999999</v>
      </c>
      <c r="R35" s="8"/>
      <c r="S35" s="8">
        <v>0.41125068870900738</v>
      </c>
    </row>
    <row r="38" spans="1:19" ht="15.75">
      <c r="A38" s="41"/>
      <c r="B38" s="41" t="s">
        <v>439</v>
      </c>
      <c r="C38" s="42"/>
      <c r="D38" s="42"/>
      <c r="E38" s="42"/>
      <c r="F38" s="42"/>
      <c r="G38" s="42"/>
      <c r="H38" s="42"/>
    </row>
    <row r="39" spans="1:19">
      <c r="A39" s="70" t="s">
        <v>449</v>
      </c>
      <c r="B39" s="175" t="s">
        <v>181</v>
      </c>
      <c r="C39" s="175"/>
      <c r="D39" s="175"/>
      <c r="E39" s="21"/>
      <c r="F39" s="175" t="s">
        <v>799</v>
      </c>
      <c r="G39" s="175"/>
      <c r="H39" s="175"/>
      <c r="I39" s="21"/>
      <c r="J39" s="100" t="s">
        <v>191</v>
      </c>
      <c r="K39" s="21"/>
      <c r="L39" s="21"/>
      <c r="M39" s="21"/>
      <c r="N39" s="21" t="s">
        <v>183</v>
      </c>
      <c r="O39" s="21" t="s">
        <v>58</v>
      </c>
      <c r="P39" s="21"/>
      <c r="Q39" s="21" t="s">
        <v>185</v>
      </c>
      <c r="R39" s="21"/>
      <c r="S39" s="21" t="s">
        <v>186</v>
      </c>
    </row>
    <row r="40" spans="1:19">
      <c r="B40" s="21" t="s">
        <v>187</v>
      </c>
      <c r="C40" s="21" t="s">
        <v>188</v>
      </c>
      <c r="D40" s="21" t="s">
        <v>189</v>
      </c>
      <c r="E40" s="21"/>
      <c r="F40" s="21" t="s">
        <v>190</v>
      </c>
      <c r="G40" s="21" t="s">
        <v>188</v>
      </c>
      <c r="H40" s="21" t="s">
        <v>189</v>
      </c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</row>
    <row r="41" spans="1:19">
      <c r="A41" s="8" t="s">
        <v>378</v>
      </c>
      <c r="B41">
        <v>31.732489999999999</v>
      </c>
      <c r="C41">
        <v>28.11834</v>
      </c>
      <c r="D41">
        <v>31.328119999999998</v>
      </c>
      <c r="F41">
        <v>20.319199999999999</v>
      </c>
      <c r="G41">
        <v>20.47823</v>
      </c>
      <c r="H41">
        <v>20.119240000000001</v>
      </c>
      <c r="J41">
        <v>11.41329</v>
      </c>
      <c r="K41">
        <v>7.64011</v>
      </c>
      <c r="L41">
        <v>11.208879999999997</v>
      </c>
      <c r="N41">
        <v>11.311084999999999</v>
      </c>
      <c r="O41">
        <v>0.14453969714234421</v>
      </c>
      <c r="Q41">
        <v>0</v>
      </c>
      <c r="S41">
        <v>1</v>
      </c>
    </row>
    <row r="42" spans="1:19">
      <c r="A42" s="8" t="s">
        <v>213</v>
      </c>
      <c r="B42">
        <v>31.431999999999999</v>
      </c>
      <c r="C42">
        <v>31.353999999999999</v>
      </c>
      <c r="D42">
        <v>31.937000000000001</v>
      </c>
      <c r="F42">
        <v>20.338000000000001</v>
      </c>
      <c r="G42">
        <v>20.184999999999999</v>
      </c>
      <c r="H42">
        <v>20.285599999999999</v>
      </c>
      <c r="J42">
        <v>11.093999999999998</v>
      </c>
      <c r="K42">
        <v>11.169</v>
      </c>
      <c r="L42">
        <v>11.651400000000002</v>
      </c>
      <c r="N42">
        <v>11.3727</v>
      </c>
      <c r="O42">
        <v>0.39414131983338496</v>
      </c>
      <c r="Q42">
        <v>6.161500000000153E-2</v>
      </c>
      <c r="S42">
        <v>0.95819088852231216</v>
      </c>
    </row>
    <row r="43" spans="1:19">
      <c r="A43" s="8" t="s">
        <v>170</v>
      </c>
      <c r="B43">
        <v>31.6191</v>
      </c>
      <c r="C43">
        <v>28.388100000000001</v>
      </c>
      <c r="D43">
        <v>31.401900000000001</v>
      </c>
      <c r="F43">
        <v>20.391100000000002</v>
      </c>
      <c r="G43">
        <v>20.2133</v>
      </c>
      <c r="H43">
        <v>20.1921</v>
      </c>
      <c r="J43">
        <v>11.227999999999998</v>
      </c>
      <c r="K43">
        <v>8.1748000000000012</v>
      </c>
      <c r="L43">
        <v>11.209800000000001</v>
      </c>
      <c r="N43">
        <v>11.2189</v>
      </c>
      <c r="O43">
        <v>1.2869343417592806E-2</v>
      </c>
      <c r="Q43">
        <v>-9.2184999999998851E-2</v>
      </c>
      <c r="S43">
        <v>1.0659834207335466</v>
      </c>
    </row>
    <row r="44" spans="1:19">
      <c r="A44" s="8" t="s">
        <v>380</v>
      </c>
      <c r="B44" s="8">
        <v>35.593241999999996</v>
      </c>
      <c r="C44" s="8">
        <v>35.183199999999999</v>
      </c>
      <c r="D44" s="8">
        <v>35.44791</v>
      </c>
      <c r="E44" s="62"/>
      <c r="F44" s="8">
        <v>23.2883192</v>
      </c>
      <c r="G44" s="8">
        <v>23.33812</v>
      </c>
      <c r="H44" s="8">
        <v>23.441199999999998</v>
      </c>
      <c r="I44" s="62"/>
      <c r="J44" s="62">
        <v>12.304922799999996</v>
      </c>
      <c r="K44" s="62">
        <v>11.845079999999999</v>
      </c>
      <c r="L44" s="62">
        <v>12.006710000000002</v>
      </c>
      <c r="M44" s="62"/>
      <c r="N44" s="62">
        <v>12.052237599999998</v>
      </c>
      <c r="O44" s="8">
        <v>0.23327756417898216</v>
      </c>
      <c r="P44" s="8"/>
      <c r="Q44" s="8">
        <v>0.7411525999999995</v>
      </c>
      <c r="R44" s="8"/>
      <c r="S44" s="8">
        <v>0.5982611976331893</v>
      </c>
    </row>
  </sheetData>
  <mergeCells count="10">
    <mergeCell ref="B30:D30"/>
    <mergeCell ref="F30:H30"/>
    <mergeCell ref="B39:D39"/>
    <mergeCell ref="F39:H39"/>
    <mergeCell ref="B3:D3"/>
    <mergeCell ref="F3:H3"/>
    <mergeCell ref="B12:D12"/>
    <mergeCell ref="F12:H12"/>
    <mergeCell ref="B21:D21"/>
    <mergeCell ref="F21:H21"/>
  </mergeCells>
  <pageMargins left="0.7" right="0.7" top="0.75" bottom="0.75" header="0.3" footer="0.3"/>
  <pageSetup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"/>
  <sheetViews>
    <sheetView workbookViewId="0">
      <selection activeCell="F3" sqref="F3:H3"/>
    </sheetView>
  </sheetViews>
  <sheetFormatPr defaultRowHeight="15"/>
  <cols>
    <col min="1" max="1" width="19.28515625" customWidth="1"/>
    <col min="2" max="2" width="12.28515625" customWidth="1"/>
    <col min="3" max="3" width="11.5703125" customWidth="1"/>
  </cols>
  <sheetData>
    <row r="1" spans="1:19" ht="15.75">
      <c r="A1" s="48" t="s">
        <v>450</v>
      </c>
      <c r="B1" s="42"/>
      <c r="C1" s="42"/>
      <c r="D1" s="41" t="s">
        <v>451</v>
      </c>
      <c r="E1" s="41"/>
      <c r="F1" s="41"/>
      <c r="G1" s="41"/>
      <c r="H1" s="41"/>
      <c r="I1" s="42"/>
    </row>
    <row r="2" spans="1:19" ht="15.75">
      <c r="A2" s="48"/>
      <c r="B2" s="41" t="s">
        <v>435</v>
      </c>
      <c r="C2" s="42"/>
      <c r="D2" s="42"/>
      <c r="E2" s="42"/>
      <c r="F2" s="42"/>
      <c r="G2" s="42"/>
      <c r="H2" s="42"/>
    </row>
    <row r="3" spans="1:19">
      <c r="A3" s="70" t="s">
        <v>455</v>
      </c>
      <c r="B3" s="175" t="s">
        <v>181</v>
      </c>
      <c r="C3" s="175"/>
      <c r="D3" s="175"/>
      <c r="E3" s="21"/>
      <c r="F3" s="175" t="s">
        <v>799</v>
      </c>
      <c r="G3" s="175"/>
      <c r="H3" s="175"/>
      <c r="I3" s="21"/>
      <c r="J3" s="100" t="s">
        <v>191</v>
      </c>
      <c r="K3" s="21"/>
      <c r="L3" s="21"/>
      <c r="M3" s="21"/>
      <c r="N3" s="21" t="s">
        <v>183</v>
      </c>
      <c r="O3" s="21" t="s">
        <v>58</v>
      </c>
      <c r="P3" s="21"/>
      <c r="Q3" s="21" t="s">
        <v>185</v>
      </c>
      <c r="R3" s="21"/>
      <c r="S3" s="21" t="s">
        <v>186</v>
      </c>
    </row>
    <row r="4" spans="1:19">
      <c r="B4" s="21" t="s">
        <v>187</v>
      </c>
      <c r="C4" s="21" t="s">
        <v>188</v>
      </c>
      <c r="D4" s="21" t="s">
        <v>189</v>
      </c>
      <c r="E4" s="21"/>
      <c r="F4" s="21" t="s">
        <v>190</v>
      </c>
      <c r="G4" s="21" t="s">
        <v>188</v>
      </c>
      <c r="H4" s="21" t="s">
        <v>189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</row>
    <row r="5" spans="1:19">
      <c r="A5" s="8" t="s">
        <v>378</v>
      </c>
      <c r="B5" s="8">
        <v>31.485334949999999</v>
      </c>
      <c r="C5" s="8">
        <v>31.193522999999999</v>
      </c>
      <c r="D5" s="8">
        <v>31.978634</v>
      </c>
      <c r="E5" s="62"/>
      <c r="F5" s="8">
        <v>21.219539999999999</v>
      </c>
      <c r="G5" s="8">
        <v>21.104340000000001</v>
      </c>
      <c r="H5" s="8">
        <v>21.291429999999998</v>
      </c>
      <c r="I5" s="62"/>
      <c r="J5" s="62">
        <v>10.26579495</v>
      </c>
      <c r="K5" s="62">
        <v>10.089182999999998</v>
      </c>
      <c r="L5" s="62">
        <v>10.687204000000001</v>
      </c>
      <c r="M5" s="62"/>
      <c r="N5" s="62">
        <v>10.476499475000001</v>
      </c>
      <c r="O5" s="8">
        <v>0.29798119690838171</v>
      </c>
      <c r="P5" s="8"/>
      <c r="Q5" s="8">
        <v>0</v>
      </c>
      <c r="R5" s="8"/>
      <c r="S5" s="8">
        <v>1</v>
      </c>
    </row>
    <row r="6" spans="1:19">
      <c r="A6" s="8" t="s">
        <v>213</v>
      </c>
      <c r="B6" s="8">
        <v>31.904</v>
      </c>
      <c r="C6" s="8">
        <v>31.22</v>
      </c>
      <c r="D6" s="8">
        <v>31.893000000000001</v>
      </c>
      <c r="E6" s="62"/>
      <c r="F6" s="8">
        <v>21.114999999999998</v>
      </c>
      <c r="G6" s="8">
        <v>21.591999999999999</v>
      </c>
      <c r="H6" s="8">
        <v>21.469000000000001</v>
      </c>
      <c r="I6" s="62"/>
      <c r="J6" s="62">
        <v>10.789000000000001</v>
      </c>
      <c r="K6" s="62">
        <v>9.6280000000000001</v>
      </c>
      <c r="L6" s="62">
        <v>10.423999999999999</v>
      </c>
      <c r="M6" s="62"/>
      <c r="N6" s="62">
        <v>10.6065</v>
      </c>
      <c r="O6" s="8">
        <v>0.25809397513309124</v>
      </c>
      <c r="P6" s="8"/>
      <c r="Q6" s="8">
        <v>0.13000052499999981</v>
      </c>
      <c r="R6" s="8"/>
      <c r="S6" s="8">
        <v>0.91383111768412217</v>
      </c>
    </row>
    <row r="7" spans="1:19">
      <c r="A7" s="8" t="s">
        <v>170</v>
      </c>
      <c r="B7" s="8">
        <v>31.515899999999998</v>
      </c>
      <c r="C7" s="8">
        <v>31.9483</v>
      </c>
      <c r="D7" s="8">
        <v>32.389299999999999</v>
      </c>
      <c r="E7" s="62"/>
      <c r="F7" s="8">
        <v>21.689499999999999</v>
      </c>
      <c r="G7" s="8">
        <v>21.1983</v>
      </c>
      <c r="H7" s="8">
        <v>21.185300000000002</v>
      </c>
      <c r="I7" s="62"/>
      <c r="J7" s="62">
        <v>9.8263999999999996</v>
      </c>
      <c r="K7" s="62">
        <v>10.75</v>
      </c>
      <c r="L7" s="62">
        <v>11.203999999999997</v>
      </c>
      <c r="M7" s="62"/>
      <c r="N7" s="62">
        <v>10.515199999999998</v>
      </c>
      <c r="O7" s="8">
        <v>0.97411030176258606</v>
      </c>
      <c r="P7" s="8"/>
      <c r="Q7" s="8">
        <v>3.8700524999997654E-2</v>
      </c>
      <c r="R7" s="8"/>
      <c r="S7" s="8">
        <v>0.97353143908652628</v>
      </c>
    </row>
    <row r="8" spans="1:19">
      <c r="A8" s="8" t="s">
        <v>380</v>
      </c>
      <c r="B8" s="8">
        <v>33.389431999999999</v>
      </c>
      <c r="C8" s="8">
        <v>33.293230000000001</v>
      </c>
      <c r="D8" s="8">
        <v>33.849342</v>
      </c>
      <c r="E8" s="62"/>
      <c r="F8" s="8">
        <v>20.869343000000001</v>
      </c>
      <c r="G8" s="8">
        <v>20.542000000000002</v>
      </c>
      <c r="H8" s="8">
        <v>20.883400000000002</v>
      </c>
      <c r="I8" s="62"/>
      <c r="J8" s="62">
        <v>12.520088999999999</v>
      </c>
      <c r="K8" s="62">
        <v>12.75123</v>
      </c>
      <c r="L8" s="62">
        <v>12.965941999999998</v>
      </c>
      <c r="M8" s="62"/>
      <c r="N8" s="62">
        <v>12.745753666666666</v>
      </c>
      <c r="O8" s="8">
        <v>0.22297694291637701</v>
      </c>
      <c r="P8" s="8"/>
      <c r="Q8" s="8">
        <v>2.2692541916666649</v>
      </c>
      <c r="R8" s="8"/>
      <c r="S8" s="8">
        <v>0.20743709437178984</v>
      </c>
    </row>
    <row r="11" spans="1:19" ht="15.75">
      <c r="A11" s="48"/>
      <c r="B11" s="41" t="s">
        <v>436</v>
      </c>
      <c r="C11" s="42"/>
      <c r="D11" s="42"/>
      <c r="E11" s="42"/>
      <c r="F11" s="42"/>
      <c r="G11" s="42"/>
      <c r="H11" s="42"/>
    </row>
    <row r="12" spans="1:19">
      <c r="A12" s="70" t="s">
        <v>455</v>
      </c>
      <c r="B12" s="175" t="s">
        <v>181</v>
      </c>
      <c r="C12" s="175"/>
      <c r="D12" s="175"/>
      <c r="E12" s="21"/>
      <c r="F12" s="175" t="s">
        <v>799</v>
      </c>
      <c r="G12" s="175"/>
      <c r="H12" s="175"/>
      <c r="I12" s="21"/>
      <c r="J12" s="100" t="s">
        <v>191</v>
      </c>
      <c r="K12" s="21"/>
      <c r="L12" s="21"/>
      <c r="M12" s="21"/>
      <c r="N12" s="21" t="s">
        <v>183</v>
      </c>
      <c r="O12" s="21" t="s">
        <v>58</v>
      </c>
      <c r="P12" s="21"/>
      <c r="Q12" s="21" t="s">
        <v>185</v>
      </c>
      <c r="R12" s="21"/>
      <c r="S12" s="21" t="s">
        <v>186</v>
      </c>
    </row>
    <row r="13" spans="1:19">
      <c r="B13" s="21" t="s">
        <v>187</v>
      </c>
      <c r="C13" s="21" t="s">
        <v>188</v>
      </c>
      <c r="D13" s="21" t="s">
        <v>189</v>
      </c>
      <c r="E13" s="21"/>
      <c r="F13" s="21" t="s">
        <v>190</v>
      </c>
      <c r="G13" s="21" t="s">
        <v>188</v>
      </c>
      <c r="H13" s="21" t="s">
        <v>189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</row>
    <row r="14" spans="1:19">
      <c r="A14" s="8" t="s">
        <v>378</v>
      </c>
      <c r="B14">
        <v>31.281293000000002</v>
      </c>
      <c r="C14">
        <v>28.485582999999998</v>
      </c>
      <c r="D14">
        <v>31.18243</v>
      </c>
      <c r="F14">
        <v>22.199349999999999</v>
      </c>
      <c r="G14">
        <v>22.95234</v>
      </c>
      <c r="H14">
        <v>22.548242999999999</v>
      </c>
      <c r="J14">
        <v>9.0819430000000025</v>
      </c>
      <c r="K14">
        <v>5.5332429999999988</v>
      </c>
      <c r="L14">
        <v>8.6341870000000007</v>
      </c>
      <c r="N14">
        <v>8.8580650000000016</v>
      </c>
      <c r="O14">
        <v>0.31661130391696507</v>
      </c>
      <c r="Q14">
        <v>0</v>
      </c>
      <c r="S14">
        <v>1</v>
      </c>
    </row>
    <row r="15" spans="1:19">
      <c r="A15" s="8" t="s">
        <v>213</v>
      </c>
      <c r="B15">
        <v>31.114000000000001</v>
      </c>
      <c r="C15">
        <v>31.812999999999999</v>
      </c>
      <c r="D15">
        <v>31.248999999999999</v>
      </c>
      <c r="F15">
        <v>22.295000000000002</v>
      </c>
      <c r="G15">
        <v>21.792999999999999</v>
      </c>
      <c r="H15">
        <v>21.949000000000002</v>
      </c>
      <c r="J15">
        <v>8.8189999999999991</v>
      </c>
      <c r="K15">
        <v>10.02</v>
      </c>
      <c r="L15">
        <v>9.2999999999999972</v>
      </c>
      <c r="N15">
        <v>9.0594999999999981</v>
      </c>
      <c r="O15">
        <v>0.34011836175072802</v>
      </c>
      <c r="Q15">
        <v>0.20143499999999648</v>
      </c>
      <c r="S15">
        <v>0.86968508657343135</v>
      </c>
    </row>
    <row r="16" spans="1:19">
      <c r="A16" s="8" t="s">
        <v>170</v>
      </c>
      <c r="B16">
        <v>31.841100000000001</v>
      </c>
      <c r="C16">
        <v>28.293399999999998</v>
      </c>
      <c r="D16">
        <v>31.319109999999998</v>
      </c>
      <c r="F16">
        <v>22.4101</v>
      </c>
      <c r="G16">
        <v>22.311900000000001</v>
      </c>
      <c r="H16">
        <v>22.1891</v>
      </c>
      <c r="J16">
        <v>9.4310000000000009</v>
      </c>
      <c r="K16">
        <v>5.9814999999999969</v>
      </c>
      <c r="L16">
        <v>9.1300099999999986</v>
      </c>
      <c r="N16">
        <v>9.2805049999999998</v>
      </c>
      <c r="O16">
        <v>0.21283207006934057</v>
      </c>
      <c r="Q16">
        <v>0.42243999999999815</v>
      </c>
      <c r="S16">
        <v>0.74616158902983831</v>
      </c>
    </row>
    <row r="17" spans="1:19">
      <c r="A17" s="8" t="s">
        <v>380</v>
      </c>
      <c r="B17" s="8">
        <v>33.664752</v>
      </c>
      <c r="C17" s="8">
        <v>33.981290000000001</v>
      </c>
      <c r="D17" s="8">
        <v>33.448120000000003</v>
      </c>
      <c r="E17" s="62"/>
      <c r="F17" s="8">
        <v>23.185400000000001</v>
      </c>
      <c r="G17" s="8">
        <v>23.543485</v>
      </c>
      <c r="H17" s="8">
        <v>23.184354500000001</v>
      </c>
      <c r="I17" s="62"/>
      <c r="J17" s="62">
        <v>10.479351999999999</v>
      </c>
      <c r="K17" s="62">
        <v>10.437805000000001</v>
      </c>
      <c r="L17" s="62">
        <v>10.263765500000002</v>
      </c>
      <c r="M17" s="62"/>
      <c r="N17" s="62">
        <v>10.393640833333334</v>
      </c>
      <c r="O17" s="8">
        <v>0.11437762000751303</v>
      </c>
      <c r="P17" s="8"/>
      <c r="Q17" s="8">
        <v>1.5355758333333327</v>
      </c>
      <c r="R17" s="8"/>
      <c r="S17" s="8">
        <v>0.34494163181424098</v>
      </c>
    </row>
    <row r="20" spans="1:19" ht="15.75">
      <c r="A20" s="48"/>
      <c r="B20" s="41" t="s">
        <v>437</v>
      </c>
      <c r="C20" s="42"/>
      <c r="D20" s="42"/>
      <c r="E20" s="42"/>
      <c r="F20" s="42"/>
      <c r="G20" s="42"/>
      <c r="H20" s="42"/>
    </row>
    <row r="21" spans="1:19">
      <c r="A21" s="70" t="s">
        <v>455</v>
      </c>
      <c r="B21" s="175" t="s">
        <v>181</v>
      </c>
      <c r="C21" s="175"/>
      <c r="D21" s="175"/>
      <c r="E21" s="21"/>
      <c r="F21" s="175" t="s">
        <v>799</v>
      </c>
      <c r="G21" s="175"/>
      <c r="H21" s="175"/>
      <c r="I21" s="21"/>
      <c r="J21" s="100" t="s">
        <v>191</v>
      </c>
      <c r="K21" s="21"/>
      <c r="L21" s="21"/>
      <c r="M21" s="21"/>
      <c r="N21" s="21" t="s">
        <v>183</v>
      </c>
      <c r="O21" s="21" t="s">
        <v>58</v>
      </c>
      <c r="P21" s="21"/>
      <c r="Q21" s="21" t="s">
        <v>185</v>
      </c>
      <c r="R21" s="21"/>
      <c r="S21" s="21" t="s">
        <v>186</v>
      </c>
    </row>
    <row r="22" spans="1:19">
      <c r="B22" s="21" t="s">
        <v>187</v>
      </c>
      <c r="C22" s="21" t="s">
        <v>188</v>
      </c>
      <c r="D22" s="21" t="s">
        <v>189</v>
      </c>
      <c r="E22" s="21"/>
      <c r="F22" s="21" t="s">
        <v>190</v>
      </c>
      <c r="G22" s="21" t="s">
        <v>188</v>
      </c>
      <c r="H22" s="21" t="s">
        <v>189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</row>
    <row r="23" spans="1:19">
      <c r="A23" s="8" t="s">
        <v>378</v>
      </c>
      <c r="B23">
        <v>31.482123000000001</v>
      </c>
      <c r="C23">
        <v>30.981238000000001</v>
      </c>
      <c r="D23">
        <v>31.481231999999999</v>
      </c>
      <c r="F23">
        <v>23.47683</v>
      </c>
      <c r="G23">
        <v>23.78435</v>
      </c>
      <c r="H23">
        <v>23.577577999999999</v>
      </c>
      <c r="J23">
        <v>8.0052930000000018</v>
      </c>
      <c r="K23">
        <v>7.1968880000000013</v>
      </c>
      <c r="L23">
        <v>7.9036539999999995</v>
      </c>
      <c r="N23">
        <v>7.9544735000000006</v>
      </c>
      <c r="O23">
        <v>7.18696261330211E-2</v>
      </c>
      <c r="Q23">
        <v>0</v>
      </c>
      <c r="S23">
        <v>1</v>
      </c>
    </row>
    <row r="24" spans="1:19">
      <c r="A24" s="8" t="s">
        <v>213</v>
      </c>
      <c r="B24">
        <v>31.194500000000001</v>
      </c>
      <c r="C24">
        <v>31.597000000000001</v>
      </c>
      <c r="D24">
        <v>31.394400000000001</v>
      </c>
      <c r="F24">
        <v>22.995999999999999</v>
      </c>
      <c r="G24">
        <v>22.6967</v>
      </c>
      <c r="H24">
        <v>22.896699999999999</v>
      </c>
      <c r="J24">
        <v>8.1985000000000028</v>
      </c>
      <c r="K24">
        <v>8.9003000000000014</v>
      </c>
      <c r="L24">
        <v>8.4977000000000018</v>
      </c>
      <c r="N24">
        <v>8.3481000000000023</v>
      </c>
      <c r="O24">
        <v>0.21156634893101434</v>
      </c>
      <c r="Q24">
        <v>0.39362650000000166</v>
      </c>
      <c r="S24">
        <v>0.76121373589531194</v>
      </c>
    </row>
    <row r="25" spans="1:19">
      <c r="A25" s="8" t="s">
        <v>170</v>
      </c>
      <c r="B25">
        <v>31.923500000000001</v>
      </c>
      <c r="C25">
        <v>30.291899999999998</v>
      </c>
      <c r="D25">
        <v>31.589200000000002</v>
      </c>
      <c r="F25">
        <v>23.729299999999999</v>
      </c>
      <c r="G25">
        <v>23.894200000000001</v>
      </c>
      <c r="H25">
        <v>23.529</v>
      </c>
      <c r="J25">
        <v>8.1942000000000021</v>
      </c>
      <c r="K25">
        <v>6.3976999999999968</v>
      </c>
      <c r="L25">
        <v>8.0602000000000018</v>
      </c>
      <c r="N25">
        <v>8.127200000000002</v>
      </c>
      <c r="O25">
        <v>9.4752308678997602E-2</v>
      </c>
      <c r="Q25">
        <v>0.17272650000000134</v>
      </c>
      <c r="S25">
        <v>0.88716447408526244</v>
      </c>
    </row>
    <row r="26" spans="1:19">
      <c r="A26" s="8" t="s">
        <v>380</v>
      </c>
      <c r="B26" s="8">
        <v>32.388210000000001</v>
      </c>
      <c r="C26" s="8">
        <v>32.478121000000002</v>
      </c>
      <c r="D26" s="8">
        <v>33.188319999999997</v>
      </c>
      <c r="E26" s="62"/>
      <c r="F26" s="8">
        <v>21.758423000000001</v>
      </c>
      <c r="G26" s="8">
        <v>21.183434999999999</v>
      </c>
      <c r="H26" s="8">
        <v>21.414835</v>
      </c>
      <c r="I26" s="62"/>
      <c r="J26" s="62">
        <v>10.629787</v>
      </c>
      <c r="K26" s="62">
        <v>11.294686000000002</v>
      </c>
      <c r="L26" s="62">
        <v>11.773484999999997</v>
      </c>
      <c r="M26" s="62"/>
      <c r="N26" s="62">
        <v>11.232652666666667</v>
      </c>
      <c r="O26" s="8">
        <v>0.57436693814523465</v>
      </c>
      <c r="P26" s="8"/>
      <c r="Q26" s="8">
        <v>3.278179166666666</v>
      </c>
      <c r="R26" s="8"/>
      <c r="S26" s="8">
        <v>0.10307889153029633</v>
      </c>
    </row>
    <row r="29" spans="1:19" ht="15.75">
      <c r="A29" s="48"/>
      <c r="B29" s="41" t="s">
        <v>438</v>
      </c>
      <c r="C29" s="42"/>
      <c r="D29" s="42"/>
      <c r="E29" s="42"/>
      <c r="F29" s="42"/>
      <c r="G29" s="42"/>
      <c r="H29" s="42"/>
    </row>
    <row r="30" spans="1:19">
      <c r="A30" s="70" t="s">
        <v>455</v>
      </c>
      <c r="B30" s="175" t="s">
        <v>181</v>
      </c>
      <c r="C30" s="175"/>
      <c r="D30" s="175"/>
      <c r="E30" s="21"/>
      <c r="F30" s="175" t="s">
        <v>799</v>
      </c>
      <c r="G30" s="175"/>
      <c r="H30" s="175"/>
      <c r="I30" s="21"/>
      <c r="J30" s="100" t="s">
        <v>191</v>
      </c>
      <c r="K30" s="21"/>
      <c r="L30" s="21"/>
      <c r="M30" s="21"/>
      <c r="N30" s="21" t="s">
        <v>183</v>
      </c>
      <c r="O30" s="21" t="s">
        <v>58</v>
      </c>
      <c r="P30" s="21"/>
      <c r="Q30" s="21" t="s">
        <v>185</v>
      </c>
      <c r="R30" s="21"/>
      <c r="S30" s="21" t="s">
        <v>186</v>
      </c>
    </row>
    <row r="31" spans="1:19">
      <c r="B31" s="21" t="s">
        <v>187</v>
      </c>
      <c r="C31" s="21" t="s">
        <v>188</v>
      </c>
      <c r="D31" s="21" t="s">
        <v>189</v>
      </c>
      <c r="E31" s="21"/>
      <c r="F31" s="21" t="s">
        <v>190</v>
      </c>
      <c r="G31" s="21" t="s">
        <v>188</v>
      </c>
      <c r="H31" s="21" t="s">
        <v>189</v>
      </c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</row>
    <row r="32" spans="1:19">
      <c r="A32" s="8" t="s">
        <v>378</v>
      </c>
      <c r="B32">
        <v>31.582923000000001</v>
      </c>
      <c r="C32">
        <v>28.118923200000001</v>
      </c>
      <c r="D32">
        <v>31.448912</v>
      </c>
      <c r="F32">
        <v>21.178122999999999</v>
      </c>
      <c r="G32">
        <v>21.758430000000001</v>
      </c>
      <c r="H32">
        <v>21.182849300000001</v>
      </c>
      <c r="J32">
        <v>10.404800000000002</v>
      </c>
      <c r="K32">
        <v>6.3604932000000005</v>
      </c>
      <c r="L32">
        <v>10.266062699999999</v>
      </c>
      <c r="N32">
        <v>10.33543135</v>
      </c>
      <c r="O32">
        <v>9.8102085633514163E-2</v>
      </c>
      <c r="Q32">
        <v>0</v>
      </c>
      <c r="S32">
        <v>1</v>
      </c>
    </row>
    <row r="33" spans="1:19">
      <c r="A33" s="8" t="s">
        <v>213</v>
      </c>
      <c r="B33">
        <v>31.3506</v>
      </c>
      <c r="C33">
        <v>31.888999999999999</v>
      </c>
      <c r="D33">
        <v>31.629000000000001</v>
      </c>
      <c r="F33">
        <v>21.1935</v>
      </c>
      <c r="G33">
        <v>21.225999999999999</v>
      </c>
      <c r="H33">
        <v>21.597000000000001</v>
      </c>
      <c r="J33">
        <v>10.1571</v>
      </c>
      <c r="K33">
        <v>10.663</v>
      </c>
      <c r="L33">
        <v>10.032</v>
      </c>
      <c r="N33">
        <v>10.09455</v>
      </c>
      <c r="O33">
        <v>8.845905832643694E-2</v>
      </c>
      <c r="Q33">
        <v>-0.24088135000000044</v>
      </c>
      <c r="S33">
        <v>1.1817143564885906</v>
      </c>
    </row>
    <row r="34" spans="1:19">
      <c r="A34" s="8" t="s">
        <v>170</v>
      </c>
      <c r="B34">
        <v>31.592300000000002</v>
      </c>
      <c r="C34">
        <v>28.682300000000001</v>
      </c>
      <c r="D34">
        <v>31.283200000000001</v>
      </c>
      <c r="F34">
        <v>21.1782</v>
      </c>
      <c r="G34">
        <v>21.188400000000001</v>
      </c>
      <c r="H34">
        <v>21.228200000000001</v>
      </c>
      <c r="J34">
        <v>10.414100000000001</v>
      </c>
      <c r="K34">
        <v>7.4939</v>
      </c>
      <c r="L34">
        <v>10.055</v>
      </c>
      <c r="N34">
        <v>10.23455</v>
      </c>
      <c r="O34">
        <v>0.25392204512409033</v>
      </c>
      <c r="Q34">
        <v>-0.10088134999999987</v>
      </c>
      <c r="S34">
        <v>1.0724284146266876</v>
      </c>
    </row>
    <row r="35" spans="1:19">
      <c r="A35" s="8" t="s">
        <v>380</v>
      </c>
      <c r="B35" s="8">
        <v>33.95823</v>
      </c>
      <c r="C35" s="8">
        <v>33.284300000000002</v>
      </c>
      <c r="D35" s="8">
        <v>33.381233999999999</v>
      </c>
      <c r="E35" s="62"/>
      <c r="F35" s="8">
        <v>20.77843</v>
      </c>
      <c r="G35" s="8">
        <v>21.57283</v>
      </c>
      <c r="H35" s="8">
        <v>21.447811999999999</v>
      </c>
      <c r="I35" s="62"/>
      <c r="J35" s="62">
        <v>13.1798</v>
      </c>
      <c r="K35" s="62">
        <v>11.711470000000002</v>
      </c>
      <c r="L35" s="62">
        <v>11.933422</v>
      </c>
      <c r="M35" s="62"/>
      <c r="N35" s="62">
        <v>12.274897333333334</v>
      </c>
      <c r="O35" s="8">
        <v>0.79148739704516602</v>
      </c>
      <c r="P35" s="8"/>
      <c r="Q35" s="8">
        <v>1.9394659833333332</v>
      </c>
      <c r="R35" s="8"/>
      <c r="S35" s="8">
        <v>0.26071292580120697</v>
      </c>
    </row>
    <row r="38" spans="1:19" ht="15.75">
      <c r="A38" s="41"/>
      <c r="B38" s="41" t="s">
        <v>439</v>
      </c>
      <c r="C38" s="42"/>
      <c r="D38" s="42"/>
      <c r="E38" s="42"/>
      <c r="F38" s="42"/>
      <c r="G38" s="42"/>
      <c r="H38" s="42"/>
    </row>
    <row r="39" spans="1:19">
      <c r="A39" s="70" t="s">
        <v>455</v>
      </c>
      <c r="B39" s="175" t="s">
        <v>181</v>
      </c>
      <c r="C39" s="175"/>
      <c r="D39" s="175"/>
      <c r="E39" s="21"/>
      <c r="F39" s="175" t="s">
        <v>799</v>
      </c>
      <c r="G39" s="175"/>
      <c r="H39" s="175"/>
      <c r="I39" s="21"/>
      <c r="J39" s="100" t="s">
        <v>191</v>
      </c>
      <c r="K39" s="21"/>
      <c r="L39" s="21"/>
      <c r="M39" s="21"/>
      <c r="N39" s="21" t="s">
        <v>183</v>
      </c>
      <c r="O39" s="21" t="s">
        <v>58</v>
      </c>
      <c r="P39" s="21"/>
      <c r="Q39" s="21" t="s">
        <v>185</v>
      </c>
      <c r="R39" s="21"/>
      <c r="S39" s="21" t="s">
        <v>186</v>
      </c>
    </row>
    <row r="40" spans="1:19">
      <c r="B40" s="21" t="s">
        <v>187</v>
      </c>
      <c r="C40" s="21" t="s">
        <v>188</v>
      </c>
      <c r="D40" s="21" t="s">
        <v>189</v>
      </c>
      <c r="E40" s="21"/>
      <c r="F40" s="21" t="s">
        <v>190</v>
      </c>
      <c r="G40" s="21" t="s">
        <v>188</v>
      </c>
      <c r="H40" s="21" t="s">
        <v>189</v>
      </c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</row>
    <row r="41" spans="1:19">
      <c r="A41" s="8" t="s">
        <v>378</v>
      </c>
      <c r="B41">
        <v>31.778234000000001</v>
      </c>
      <c r="C41">
        <v>28.193241</v>
      </c>
      <c r="D41">
        <v>31.578342331999998</v>
      </c>
      <c r="F41">
        <v>21.667434</v>
      </c>
      <c r="G41">
        <v>21.781942999999998</v>
      </c>
      <c r="H41">
        <v>21.578430000000001</v>
      </c>
      <c r="J41">
        <v>10.110800000000001</v>
      </c>
      <c r="K41">
        <v>6.4112980000000022</v>
      </c>
      <c r="L41">
        <v>9.9999123319999974</v>
      </c>
      <c r="N41">
        <v>10.055356165999999</v>
      </c>
      <c r="O41">
        <v>7.8409421992765155E-2</v>
      </c>
      <c r="Q41">
        <v>0</v>
      </c>
      <c r="S41">
        <v>1</v>
      </c>
    </row>
    <row r="42" spans="1:19">
      <c r="A42" s="8" t="s">
        <v>213</v>
      </c>
      <c r="B42">
        <v>31.178999999999998</v>
      </c>
      <c r="C42">
        <v>31.819199999999999</v>
      </c>
      <c r="D42">
        <v>31.952000000000002</v>
      </c>
      <c r="F42">
        <v>21.431000000000001</v>
      </c>
      <c r="G42">
        <v>21.114000000000001</v>
      </c>
      <c r="H42">
        <v>21.562000000000001</v>
      </c>
      <c r="J42">
        <v>9.7479999999999976</v>
      </c>
      <c r="K42">
        <v>10.705199999999998</v>
      </c>
      <c r="L42">
        <v>10.39</v>
      </c>
      <c r="N42">
        <v>10.068999999999999</v>
      </c>
      <c r="O42">
        <v>0.45396255352176562</v>
      </c>
      <c r="Q42">
        <v>1.3643833999999799E-2</v>
      </c>
      <c r="S42">
        <v>0.99058739346575553</v>
      </c>
    </row>
    <row r="43" spans="1:19">
      <c r="A43" s="8" t="s">
        <v>170</v>
      </c>
      <c r="B43">
        <v>31.019200000000001</v>
      </c>
      <c r="C43">
        <v>28.218800000000002</v>
      </c>
      <c r="D43">
        <v>31.981100000000001</v>
      </c>
      <c r="F43">
        <v>21.381900000000002</v>
      </c>
      <c r="G43">
        <v>21.178000000000001</v>
      </c>
      <c r="H43">
        <v>21.181899999999999</v>
      </c>
      <c r="J43">
        <v>9.6372999999999998</v>
      </c>
      <c r="K43">
        <v>7.0408000000000008</v>
      </c>
      <c r="L43">
        <v>10.799200000000003</v>
      </c>
      <c r="N43">
        <v>10.218250000000001</v>
      </c>
      <c r="O43">
        <v>0.82158736906065155</v>
      </c>
      <c r="Q43">
        <v>0.1628938340000019</v>
      </c>
      <c r="S43">
        <v>0.8932315816526174</v>
      </c>
    </row>
    <row r="44" spans="1:19">
      <c r="A44" s="8" t="s">
        <v>380</v>
      </c>
      <c r="B44" s="8">
        <v>32.582341</v>
      </c>
      <c r="C44" s="8">
        <v>32.448123000000002</v>
      </c>
      <c r="D44" s="8">
        <v>33.918323999999998</v>
      </c>
      <c r="E44" s="62"/>
      <c r="F44" s="8">
        <v>20.489234</v>
      </c>
      <c r="G44" s="8">
        <v>20.556584300000001</v>
      </c>
      <c r="H44" s="8">
        <v>20.192343000000001</v>
      </c>
      <c r="I44" s="62"/>
      <c r="J44" s="62">
        <v>12.093107</v>
      </c>
      <c r="K44" s="62">
        <v>11.891538700000002</v>
      </c>
      <c r="L44" s="62">
        <v>13.725980999999997</v>
      </c>
      <c r="M44" s="62"/>
      <c r="N44" s="62">
        <v>12.570208899999999</v>
      </c>
      <c r="O44" s="8">
        <v>1.0059892172608143</v>
      </c>
      <c r="P44" s="8"/>
      <c r="Q44" s="8">
        <v>2.5148527339999998</v>
      </c>
      <c r="R44" s="8"/>
      <c r="S44" s="8">
        <v>0.17496609230390683</v>
      </c>
    </row>
  </sheetData>
  <mergeCells count="10">
    <mergeCell ref="B30:D30"/>
    <mergeCell ref="F30:H30"/>
    <mergeCell ref="B39:D39"/>
    <mergeCell ref="F39:H39"/>
    <mergeCell ref="B3:D3"/>
    <mergeCell ref="F3:H3"/>
    <mergeCell ref="B12:D12"/>
    <mergeCell ref="F12:H12"/>
    <mergeCell ref="B21:D21"/>
    <mergeCell ref="F21:H21"/>
  </mergeCells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Views>
    <sheetView zoomScale="95" zoomScaleNormal="95" workbookViewId="0">
      <selection activeCell="F4" sqref="F4:H4"/>
    </sheetView>
  </sheetViews>
  <sheetFormatPr defaultRowHeight="15"/>
  <cols>
    <col min="1" max="1" width="19.28515625" customWidth="1"/>
    <col min="2" max="2" width="12.28515625" customWidth="1"/>
    <col min="3" max="3" width="11.5703125" customWidth="1"/>
  </cols>
  <sheetData>
    <row r="1" spans="1:19">
      <c r="D1" t="s">
        <v>751</v>
      </c>
    </row>
    <row r="2" spans="1:19" ht="15.75">
      <c r="A2" s="48" t="s">
        <v>452</v>
      </c>
      <c r="B2" s="42"/>
      <c r="C2" s="42"/>
      <c r="D2" s="41" t="s">
        <v>453</v>
      </c>
      <c r="E2" s="41"/>
      <c r="F2" s="41"/>
      <c r="G2" s="41"/>
      <c r="H2" s="41"/>
      <c r="I2" s="42"/>
    </row>
    <row r="3" spans="1:19" ht="15.75">
      <c r="A3" s="48"/>
      <c r="B3" s="41" t="s">
        <v>435</v>
      </c>
      <c r="C3" s="42"/>
      <c r="D3" s="42"/>
      <c r="E3" s="42"/>
      <c r="F3" s="42"/>
      <c r="G3" s="42"/>
      <c r="H3" s="42"/>
    </row>
    <row r="4" spans="1:19">
      <c r="A4" s="70" t="s">
        <v>454</v>
      </c>
      <c r="B4" s="175" t="s">
        <v>181</v>
      </c>
      <c r="C4" s="175"/>
      <c r="D4" s="175"/>
      <c r="E4" s="21"/>
      <c r="F4" s="175" t="s">
        <v>799</v>
      </c>
      <c r="G4" s="175"/>
      <c r="H4" s="175"/>
      <c r="I4" s="21"/>
      <c r="J4" s="100" t="s">
        <v>191</v>
      </c>
      <c r="K4" s="21"/>
      <c r="L4" s="21"/>
      <c r="M4" s="21"/>
      <c r="N4" s="21" t="s">
        <v>183</v>
      </c>
      <c r="O4" s="21" t="s">
        <v>58</v>
      </c>
      <c r="P4" s="21"/>
      <c r="Q4" s="21" t="s">
        <v>185</v>
      </c>
      <c r="R4" s="21"/>
      <c r="S4" s="21" t="s">
        <v>186</v>
      </c>
    </row>
    <row r="5" spans="1:19">
      <c r="B5" s="21" t="s">
        <v>187</v>
      </c>
      <c r="C5" s="21" t="s">
        <v>188</v>
      </c>
      <c r="D5" s="21" t="s">
        <v>189</v>
      </c>
      <c r="E5" s="21"/>
      <c r="F5" s="21" t="s">
        <v>190</v>
      </c>
      <c r="G5" s="21" t="s">
        <v>188</v>
      </c>
      <c r="H5" s="21" t="s">
        <v>189</v>
      </c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</row>
    <row r="6" spans="1:19">
      <c r="A6" s="8" t="s">
        <v>378</v>
      </c>
      <c r="B6" s="8">
        <v>31.19184684753418</v>
      </c>
      <c r="C6" s="8">
        <v>31.8991584777832</v>
      </c>
      <c r="D6" s="8">
        <v>31.2313426971435</v>
      </c>
      <c r="E6" s="62"/>
      <c r="F6" s="8">
        <v>20.899637222290039</v>
      </c>
      <c r="G6" s="8">
        <v>20.694952011108398</v>
      </c>
      <c r="H6" s="8">
        <v>20.194076538085938</v>
      </c>
      <c r="I6" s="62"/>
      <c r="J6" s="62">
        <v>10.292209625244141</v>
      </c>
      <c r="K6" s="62">
        <v>11.204206466674801</v>
      </c>
      <c r="L6" s="62">
        <v>11.037266159057562</v>
      </c>
      <c r="M6" s="62"/>
      <c r="N6" s="62">
        <v>10.664737892150852</v>
      </c>
      <c r="O6" s="8">
        <v>0.5268345274268148</v>
      </c>
      <c r="P6" s="8"/>
      <c r="Q6" s="8">
        <v>0</v>
      </c>
      <c r="R6" s="8"/>
      <c r="S6" s="8">
        <v>1</v>
      </c>
    </row>
    <row r="7" spans="1:19">
      <c r="A7" s="8" t="s">
        <v>213</v>
      </c>
      <c r="B7" s="8">
        <v>31.234999999999999</v>
      </c>
      <c r="C7" s="8">
        <v>31.818000000000001</v>
      </c>
      <c r="D7" s="8">
        <v>31.481300000000001</v>
      </c>
      <c r="E7" s="62"/>
      <c r="F7" s="8">
        <v>20.545999999999999</v>
      </c>
      <c r="G7" s="8">
        <v>20.244</v>
      </c>
      <c r="H7" s="8">
        <v>20.194400000000002</v>
      </c>
      <c r="I7" s="62"/>
      <c r="J7" s="62">
        <v>10.689</v>
      </c>
      <c r="K7" s="62">
        <v>11.574000000000002</v>
      </c>
      <c r="L7" s="62">
        <v>11.286899999999999</v>
      </c>
      <c r="M7" s="62"/>
      <c r="N7" s="62">
        <v>10.98795</v>
      </c>
      <c r="O7" s="8">
        <v>0.42277914447143622</v>
      </c>
      <c r="P7" s="8"/>
      <c r="Q7" s="8">
        <v>0.32321210784914811</v>
      </c>
      <c r="R7" s="8"/>
      <c r="S7" s="8">
        <v>0.7992883087817052</v>
      </c>
    </row>
    <row r="8" spans="1:19">
      <c r="A8" s="8" t="s">
        <v>170</v>
      </c>
      <c r="B8" s="8">
        <v>31.952300000000001</v>
      </c>
      <c r="C8" s="8">
        <v>31.349</v>
      </c>
      <c r="D8" s="8">
        <v>31.388539999999999</v>
      </c>
      <c r="E8" s="62"/>
      <c r="F8" s="8">
        <v>20.9832</v>
      </c>
      <c r="G8" s="8">
        <v>20.779319999999998</v>
      </c>
      <c r="H8" s="8">
        <v>20.491230000000002</v>
      </c>
      <c r="I8" s="62"/>
      <c r="J8" s="62">
        <v>10.969100000000001</v>
      </c>
      <c r="K8" s="62">
        <v>10.569680000000002</v>
      </c>
      <c r="L8" s="62">
        <v>10.897309999999997</v>
      </c>
      <c r="M8" s="62"/>
      <c r="N8" s="62">
        <v>10.933204999999999</v>
      </c>
      <c r="O8" s="8">
        <v>5.076319582138477E-2</v>
      </c>
      <c r="P8" s="8"/>
      <c r="Q8" s="8">
        <v>0.26846710784914762</v>
      </c>
      <c r="R8" s="8"/>
      <c r="S8" s="8">
        <v>0.83020118260785702</v>
      </c>
    </row>
    <row r="9" spans="1:19">
      <c r="A9" s="8" t="s">
        <v>380</v>
      </c>
      <c r="B9" s="8">
        <v>38.180941009521398</v>
      </c>
      <c r="C9" s="8">
        <v>38.115511779785102</v>
      </c>
      <c r="D9" s="8">
        <v>38.012747573852501</v>
      </c>
      <c r="E9" s="62"/>
      <c r="F9" s="8">
        <v>23.437532424926701</v>
      </c>
      <c r="G9" s="8">
        <v>23.787895202636719</v>
      </c>
      <c r="H9" s="8">
        <v>23.908143997192383</v>
      </c>
      <c r="I9" s="62"/>
      <c r="J9" s="62">
        <v>14.743408584594697</v>
      </c>
      <c r="K9" s="62">
        <v>14.327616577148383</v>
      </c>
      <c r="L9" s="62">
        <v>14.104603576660118</v>
      </c>
      <c r="M9" s="62"/>
      <c r="N9" s="62">
        <v>14.3918762461344</v>
      </c>
      <c r="O9" s="8">
        <v>0.32421434011193673</v>
      </c>
      <c r="P9" s="8"/>
      <c r="Q9" s="8">
        <v>3.7271383539835483</v>
      </c>
      <c r="R9" s="8"/>
      <c r="S9" s="8">
        <v>7.5512623228703543E-2</v>
      </c>
    </row>
    <row r="12" spans="1:19" ht="15.75">
      <c r="A12" s="48"/>
      <c r="B12" s="41" t="s">
        <v>436</v>
      </c>
      <c r="C12" s="42"/>
      <c r="D12" s="42"/>
      <c r="E12" s="42"/>
      <c r="F12" s="42"/>
      <c r="G12" s="42"/>
      <c r="H12" s="42"/>
    </row>
    <row r="13" spans="1:19">
      <c r="A13" s="70" t="s">
        <v>454</v>
      </c>
      <c r="B13" s="175" t="s">
        <v>181</v>
      </c>
      <c r="C13" s="175"/>
      <c r="D13" s="175"/>
      <c r="E13" s="21"/>
      <c r="F13" s="175" t="s">
        <v>799</v>
      </c>
      <c r="G13" s="175"/>
      <c r="H13" s="175"/>
      <c r="I13" s="21"/>
      <c r="J13" s="100" t="s">
        <v>191</v>
      </c>
      <c r="K13" s="21"/>
      <c r="L13" s="21"/>
      <c r="M13" s="21"/>
      <c r="N13" s="21" t="s">
        <v>183</v>
      </c>
      <c r="O13" s="21" t="s">
        <v>58</v>
      </c>
      <c r="P13" s="21"/>
      <c r="Q13" s="21" t="s">
        <v>185</v>
      </c>
      <c r="R13" s="21"/>
      <c r="S13" s="21" t="s">
        <v>186</v>
      </c>
    </row>
    <row r="14" spans="1:19">
      <c r="B14" s="21" t="s">
        <v>187</v>
      </c>
      <c r="C14" s="21" t="s">
        <v>188</v>
      </c>
      <c r="D14" s="21" t="s">
        <v>189</v>
      </c>
      <c r="E14" s="21"/>
      <c r="F14" s="21" t="s">
        <v>190</v>
      </c>
      <c r="G14" s="21" t="s">
        <v>188</v>
      </c>
      <c r="H14" s="21" t="s">
        <v>189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</row>
    <row r="15" spans="1:19">
      <c r="A15" s="8" t="s">
        <v>378</v>
      </c>
      <c r="B15">
        <v>31.293240000000001</v>
      </c>
      <c r="C15">
        <v>31.64734</v>
      </c>
      <c r="D15">
        <v>31.128430000000002</v>
      </c>
      <c r="F15">
        <v>20.324000000000002</v>
      </c>
      <c r="G15">
        <v>21.634312000000001</v>
      </c>
      <c r="H15">
        <v>21.594429999999999</v>
      </c>
      <c r="J15">
        <v>10.969239999999999</v>
      </c>
      <c r="K15">
        <v>10.013027999999998</v>
      </c>
      <c r="L15">
        <v>9.5340000000000025</v>
      </c>
      <c r="N15">
        <v>10.251620000000001</v>
      </c>
      <c r="O15">
        <v>1.014867936630178</v>
      </c>
      <c r="Q15">
        <v>0</v>
      </c>
      <c r="S15">
        <v>1</v>
      </c>
    </row>
    <row r="16" spans="1:19">
      <c r="A16" s="8" t="s">
        <v>213</v>
      </c>
      <c r="B16">
        <v>31.338100000000001</v>
      </c>
      <c r="C16">
        <v>31.419</v>
      </c>
      <c r="D16">
        <v>31.101900000000001</v>
      </c>
      <c r="F16">
        <v>20.994299999999999</v>
      </c>
      <c r="G16">
        <v>21.103200000000001</v>
      </c>
      <c r="H16">
        <v>21.318000000000001</v>
      </c>
      <c r="J16">
        <v>10.343800000000002</v>
      </c>
      <c r="K16">
        <v>10.315799999999999</v>
      </c>
      <c r="L16">
        <v>9.7838999999999992</v>
      </c>
      <c r="N16">
        <v>10.06385</v>
      </c>
      <c r="O16">
        <v>0.39590908678634973</v>
      </c>
      <c r="Q16">
        <v>-0.18777000000000044</v>
      </c>
      <c r="S16">
        <v>1.1390017786964737</v>
      </c>
    </row>
    <row r="17" spans="1:19">
      <c r="A17" s="8" t="s">
        <v>170</v>
      </c>
      <c r="B17">
        <v>31.592320000000001</v>
      </c>
      <c r="C17">
        <v>31.303999999999998</v>
      </c>
      <c r="D17">
        <v>31.3965</v>
      </c>
      <c r="F17">
        <v>20.4238</v>
      </c>
      <c r="G17">
        <v>21.592300000000002</v>
      </c>
      <c r="H17">
        <v>21.896000000000001</v>
      </c>
      <c r="J17">
        <v>11.168520000000001</v>
      </c>
      <c r="K17">
        <v>9.7116999999999969</v>
      </c>
      <c r="L17">
        <v>9.5004999999999988</v>
      </c>
      <c r="N17">
        <v>10.33451</v>
      </c>
      <c r="O17">
        <v>1.1794682531547864</v>
      </c>
      <c r="Q17">
        <v>8.288999999999902E-2</v>
      </c>
      <c r="S17">
        <v>0.94416440534438961</v>
      </c>
    </row>
    <row r="18" spans="1:19">
      <c r="A18" s="8" t="s">
        <v>380</v>
      </c>
      <c r="B18" s="8">
        <v>34.180941009521398</v>
      </c>
      <c r="C18" s="8">
        <v>34.115511779785102</v>
      </c>
      <c r="D18" s="8">
        <v>34.012747573852501</v>
      </c>
      <c r="E18" s="62"/>
      <c r="F18" s="8">
        <v>21.93563</v>
      </c>
      <c r="G18" s="8">
        <v>20.226412</v>
      </c>
      <c r="H18" s="8">
        <v>20.673462000000001</v>
      </c>
      <c r="I18" s="62"/>
      <c r="J18" s="62">
        <v>12.245311009521398</v>
      </c>
      <c r="K18" s="62">
        <v>13.889099779785102</v>
      </c>
      <c r="L18" s="62">
        <v>13.3392855738525</v>
      </c>
      <c r="M18" s="62"/>
      <c r="N18" s="62">
        <v>13.157898787719667</v>
      </c>
      <c r="O18" s="8">
        <v>0.8367713277526686</v>
      </c>
      <c r="P18" s="8"/>
      <c r="Q18" s="8">
        <v>2.9062787877196659</v>
      </c>
      <c r="R18" s="8"/>
      <c r="S18" s="8">
        <v>0.13338988837931098</v>
      </c>
    </row>
    <row r="21" spans="1:19" ht="15.75">
      <c r="A21" s="48"/>
      <c r="B21" s="41" t="s">
        <v>437</v>
      </c>
      <c r="C21" s="42"/>
      <c r="D21" s="42"/>
      <c r="E21" s="42"/>
      <c r="F21" s="42"/>
      <c r="G21" s="42"/>
      <c r="H21" s="42"/>
    </row>
    <row r="22" spans="1:19">
      <c r="A22" s="70" t="s">
        <v>454</v>
      </c>
      <c r="B22" s="175" t="s">
        <v>181</v>
      </c>
      <c r="C22" s="175"/>
      <c r="D22" s="175"/>
      <c r="E22" s="21"/>
      <c r="F22" s="175" t="s">
        <v>799</v>
      </c>
      <c r="G22" s="175"/>
      <c r="H22" s="175"/>
      <c r="I22" s="21"/>
      <c r="J22" s="100" t="s">
        <v>191</v>
      </c>
      <c r="K22" s="21"/>
      <c r="L22" s="21"/>
      <c r="M22" s="21"/>
      <c r="N22" s="21" t="s">
        <v>183</v>
      </c>
      <c r="O22" s="21" t="s">
        <v>58</v>
      </c>
      <c r="P22" s="21"/>
      <c r="Q22" s="21" t="s">
        <v>185</v>
      </c>
      <c r="R22" s="21"/>
      <c r="S22" s="21" t="s">
        <v>186</v>
      </c>
    </row>
    <row r="23" spans="1:19">
      <c r="B23" s="21" t="s">
        <v>187</v>
      </c>
      <c r="C23" s="21" t="s">
        <v>188</v>
      </c>
      <c r="D23" s="21" t="s">
        <v>189</v>
      </c>
      <c r="E23" s="21"/>
      <c r="F23" s="21" t="s">
        <v>190</v>
      </c>
      <c r="G23" s="21" t="s">
        <v>188</v>
      </c>
      <c r="H23" s="21" t="s">
        <v>189</v>
      </c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</row>
    <row r="24" spans="1:19">
      <c r="A24" s="8" t="s">
        <v>378</v>
      </c>
      <c r="B24">
        <v>30.5918468475341</v>
      </c>
      <c r="C24">
        <v>30.8991584777832</v>
      </c>
      <c r="D24">
        <v>30.331342697143501</v>
      </c>
      <c r="F24">
        <v>21.478449999999999</v>
      </c>
      <c r="G24">
        <v>21.546823199999999</v>
      </c>
      <c r="H24">
        <v>20.335964560000001</v>
      </c>
      <c r="J24">
        <v>9.1133968475341014</v>
      </c>
      <c r="K24">
        <v>9.352335277783201</v>
      </c>
      <c r="L24">
        <v>9.9953781371435007</v>
      </c>
      <c r="N24">
        <v>9.554387492338801</v>
      </c>
      <c r="O24">
        <v>0.62365495076246247</v>
      </c>
      <c r="Q24">
        <v>0</v>
      </c>
      <c r="S24">
        <v>1</v>
      </c>
    </row>
    <row r="25" spans="1:19">
      <c r="A25" s="8" t="s">
        <v>213</v>
      </c>
      <c r="B25">
        <v>30.514199999999999</v>
      </c>
      <c r="C25">
        <v>30.331199999999999</v>
      </c>
      <c r="D25">
        <v>30.9312</v>
      </c>
      <c r="F25">
        <v>21.234999999999999</v>
      </c>
      <c r="G25">
        <v>21.1021</v>
      </c>
      <c r="H25">
        <v>20.293399999999998</v>
      </c>
      <c r="J25">
        <v>9.2791999999999994</v>
      </c>
      <c r="K25">
        <v>9.229099999999999</v>
      </c>
      <c r="L25">
        <v>10.637800000000002</v>
      </c>
      <c r="N25">
        <v>9.9585000000000008</v>
      </c>
      <c r="O25">
        <v>0.9606752729200454</v>
      </c>
      <c r="Q25">
        <v>0.40411250766119977</v>
      </c>
      <c r="S25">
        <v>0.7557010289928745</v>
      </c>
    </row>
    <row r="26" spans="1:19">
      <c r="A26" s="8" t="s">
        <v>170</v>
      </c>
      <c r="B26">
        <v>30.496500000000001</v>
      </c>
      <c r="C26">
        <v>30.793299999999999</v>
      </c>
      <c r="D26">
        <v>30.192540000000001</v>
      </c>
      <c r="F26">
        <v>21.154499999999999</v>
      </c>
      <c r="G26">
        <v>21.253450000000001</v>
      </c>
      <c r="H26">
        <v>20.672339999999998</v>
      </c>
      <c r="J26">
        <v>9.3420000000000023</v>
      </c>
      <c r="K26">
        <v>9.5398499999999977</v>
      </c>
      <c r="L26">
        <v>9.5202000000000027</v>
      </c>
      <c r="N26">
        <v>9.4311000000000025</v>
      </c>
      <c r="O26">
        <v>0.12600642840744303</v>
      </c>
      <c r="Q26">
        <v>-0.12328749233879854</v>
      </c>
      <c r="S26">
        <v>1.0892140462999227</v>
      </c>
    </row>
    <row r="27" spans="1:19">
      <c r="A27" s="8" t="s">
        <v>380</v>
      </c>
      <c r="B27" s="8">
        <v>34.980941009521402</v>
      </c>
      <c r="C27" s="8">
        <v>34.493400000000001</v>
      </c>
      <c r="D27" s="8">
        <v>34.118299999999998</v>
      </c>
      <c r="E27" s="62"/>
      <c r="F27" s="8">
        <v>22.198464600000001</v>
      </c>
      <c r="G27" s="8">
        <v>22.599341200000001</v>
      </c>
      <c r="H27" s="8">
        <v>21.92354533</v>
      </c>
      <c r="I27" s="62"/>
      <c r="J27" s="62">
        <v>12.782476409521401</v>
      </c>
      <c r="K27" s="62">
        <v>11.8940588</v>
      </c>
      <c r="L27" s="62">
        <v>12.194754669999998</v>
      </c>
      <c r="M27" s="62"/>
      <c r="N27" s="62">
        <v>12.290429959840466</v>
      </c>
      <c r="O27" s="8">
        <v>0.45187031661913057</v>
      </c>
      <c r="P27" s="8"/>
      <c r="Q27" s="8">
        <v>2.7360424675016652</v>
      </c>
      <c r="R27" s="8"/>
      <c r="S27" s="8">
        <v>0.15009601011008969</v>
      </c>
    </row>
    <row r="30" spans="1:19" ht="15.75">
      <c r="A30" s="48"/>
      <c r="B30" s="41" t="s">
        <v>438</v>
      </c>
      <c r="C30" s="42"/>
      <c r="D30" s="42"/>
      <c r="E30" s="42"/>
      <c r="F30" s="42"/>
      <c r="G30" s="42"/>
      <c r="H30" s="42"/>
    </row>
    <row r="31" spans="1:19">
      <c r="A31" s="70" t="s">
        <v>454</v>
      </c>
      <c r="B31" s="175" t="s">
        <v>181</v>
      </c>
      <c r="C31" s="175"/>
      <c r="D31" s="175"/>
      <c r="E31" s="21"/>
      <c r="F31" s="175" t="s">
        <v>799</v>
      </c>
      <c r="G31" s="175"/>
      <c r="H31" s="175"/>
      <c r="I31" s="21"/>
      <c r="J31" s="100" t="s">
        <v>191</v>
      </c>
      <c r="K31" s="21"/>
      <c r="L31" s="21"/>
      <c r="M31" s="21"/>
      <c r="N31" s="21" t="s">
        <v>183</v>
      </c>
      <c r="O31" s="21" t="s">
        <v>58</v>
      </c>
      <c r="P31" s="21"/>
      <c r="Q31" s="21" t="s">
        <v>185</v>
      </c>
      <c r="R31" s="21"/>
      <c r="S31" s="21" t="s">
        <v>186</v>
      </c>
    </row>
    <row r="32" spans="1:19">
      <c r="B32" s="21" t="s">
        <v>187</v>
      </c>
      <c r="C32" s="21" t="s">
        <v>188</v>
      </c>
      <c r="D32" s="21" t="s">
        <v>189</v>
      </c>
      <c r="E32" s="21"/>
      <c r="F32" s="21" t="s">
        <v>190</v>
      </c>
      <c r="G32" s="21" t="s">
        <v>188</v>
      </c>
      <c r="H32" s="21" t="s">
        <v>189</v>
      </c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</row>
    <row r="33" spans="1:19">
      <c r="A33" s="8" t="s">
        <v>378</v>
      </c>
      <c r="B33">
        <v>31.19184684753418</v>
      </c>
      <c r="C33">
        <v>28.899158477783203</v>
      </c>
      <c r="D33">
        <v>31.331342697143555</v>
      </c>
      <c r="F33">
        <v>20.102429999999998</v>
      </c>
      <c r="G33">
        <v>20.339230000000001</v>
      </c>
      <c r="H33">
        <v>20.485399999999998</v>
      </c>
      <c r="J33">
        <v>11.089416847534181</v>
      </c>
      <c r="K33">
        <v>8.5599284777832025</v>
      </c>
      <c r="L33">
        <v>10.845942697143556</v>
      </c>
      <c r="N33">
        <v>10.967679772338869</v>
      </c>
      <c r="O33">
        <v>0.17216222278484442</v>
      </c>
      <c r="Q33">
        <v>0</v>
      </c>
      <c r="S33">
        <v>1</v>
      </c>
    </row>
    <row r="34" spans="1:19">
      <c r="A34" s="8" t="s">
        <v>213</v>
      </c>
      <c r="B34">
        <v>31.2181</v>
      </c>
      <c r="C34">
        <v>28.418299999999999</v>
      </c>
      <c r="D34">
        <v>31.891200000000001</v>
      </c>
      <c r="F34">
        <v>20.420999999999999</v>
      </c>
      <c r="G34">
        <v>20.922999999999998</v>
      </c>
      <c r="H34">
        <v>20.432200000000002</v>
      </c>
      <c r="J34">
        <v>10.7971</v>
      </c>
      <c r="K34">
        <v>7.4953000000000003</v>
      </c>
      <c r="L34">
        <v>11.459</v>
      </c>
      <c r="N34">
        <v>11.12805</v>
      </c>
      <c r="O34">
        <v>0.46803397846737527</v>
      </c>
      <c r="Q34">
        <v>0.16037022766113118</v>
      </c>
      <c r="S34">
        <v>0.89479541704039112</v>
      </c>
    </row>
    <row r="35" spans="1:19">
      <c r="A35" s="8" t="s">
        <v>170</v>
      </c>
      <c r="B35">
        <v>31.496200000000002</v>
      </c>
      <c r="C35">
        <v>28.228100000000001</v>
      </c>
      <c r="D35">
        <v>31.612400000000001</v>
      </c>
      <c r="F35">
        <v>20.183199999999999</v>
      </c>
      <c r="G35">
        <v>20.109400000000001</v>
      </c>
      <c r="H35">
        <v>20.319299999999998</v>
      </c>
      <c r="J35">
        <v>11.313000000000002</v>
      </c>
      <c r="K35">
        <v>8.1187000000000005</v>
      </c>
      <c r="L35">
        <v>11.293100000000003</v>
      </c>
      <c r="N35">
        <v>11.303050000000002</v>
      </c>
      <c r="O35">
        <v>1.4071424945612159E-2</v>
      </c>
      <c r="Q35">
        <v>0.33537022766113367</v>
      </c>
      <c r="S35">
        <v>0.79258071665602803</v>
      </c>
    </row>
    <row r="36" spans="1:19">
      <c r="A36" s="8" t="s">
        <v>380</v>
      </c>
      <c r="B36" s="8">
        <v>33.493499999999997</v>
      </c>
      <c r="C36" s="8">
        <v>33.834299999999999</v>
      </c>
      <c r="D36" s="8">
        <v>33.686430000000001</v>
      </c>
      <c r="E36" s="62"/>
      <c r="F36" s="8">
        <v>21.120543000000001</v>
      </c>
      <c r="G36" s="8">
        <v>21.968340000000001</v>
      </c>
      <c r="H36" s="8">
        <v>21.942119999999999</v>
      </c>
      <c r="I36" s="62"/>
      <c r="J36" s="62">
        <v>12.372956999999996</v>
      </c>
      <c r="K36" s="62">
        <v>11.865959999999998</v>
      </c>
      <c r="L36" s="62">
        <v>11.744310000000002</v>
      </c>
      <c r="M36" s="62"/>
      <c r="N36" s="62">
        <v>11.994408999999999</v>
      </c>
      <c r="O36" s="8">
        <v>0.33342708626174661</v>
      </c>
      <c r="P36" s="8"/>
      <c r="Q36" s="8">
        <v>1.0267292276611304</v>
      </c>
      <c r="R36" s="8"/>
      <c r="S36" s="8">
        <v>0.49082164318348204</v>
      </c>
    </row>
    <row r="39" spans="1:19" ht="15.75">
      <c r="A39" s="41"/>
      <c r="B39" s="41" t="s">
        <v>439</v>
      </c>
      <c r="C39" s="42"/>
      <c r="D39" s="42"/>
      <c r="E39" s="42"/>
      <c r="F39" s="42"/>
      <c r="G39" s="42"/>
      <c r="H39" s="42"/>
    </row>
    <row r="40" spans="1:19">
      <c r="A40" s="70" t="s">
        <v>454</v>
      </c>
      <c r="B40" s="175" t="s">
        <v>181</v>
      </c>
      <c r="C40" s="175"/>
      <c r="D40" s="175"/>
      <c r="E40" s="21"/>
      <c r="F40" s="175" t="s">
        <v>799</v>
      </c>
      <c r="G40" s="175"/>
      <c r="H40" s="175"/>
      <c r="I40" s="21"/>
      <c r="J40" s="100" t="s">
        <v>191</v>
      </c>
      <c r="K40" s="21"/>
      <c r="L40" s="21"/>
      <c r="M40" s="21"/>
      <c r="N40" s="21" t="s">
        <v>183</v>
      </c>
      <c r="O40" s="21" t="s">
        <v>58</v>
      </c>
      <c r="P40" s="21"/>
      <c r="Q40" s="21" t="s">
        <v>185</v>
      </c>
      <c r="R40" s="21"/>
      <c r="S40" s="21" t="s">
        <v>186</v>
      </c>
    </row>
    <row r="41" spans="1:19">
      <c r="B41" s="21" t="s">
        <v>187</v>
      </c>
      <c r="C41" s="21" t="s">
        <v>188</v>
      </c>
      <c r="D41" s="21" t="s">
        <v>189</v>
      </c>
      <c r="E41" s="21"/>
      <c r="F41" s="21" t="s">
        <v>190</v>
      </c>
      <c r="G41" s="21" t="s">
        <v>188</v>
      </c>
      <c r="H41" s="21" t="s">
        <v>189</v>
      </c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</row>
    <row r="42" spans="1:19">
      <c r="A42" s="8" t="s">
        <v>378</v>
      </c>
      <c r="B42">
        <v>31.19184684753418</v>
      </c>
      <c r="C42">
        <v>28.899158477783203</v>
      </c>
      <c r="D42">
        <v>31.331342697143555</v>
      </c>
      <c r="F42">
        <v>21.1934</v>
      </c>
      <c r="G42">
        <v>21.496400000000001</v>
      </c>
      <c r="H42">
        <v>21.103463999999999</v>
      </c>
      <c r="J42">
        <v>9.9984468475341792</v>
      </c>
      <c r="K42">
        <v>7.4027584777832018</v>
      </c>
      <c r="L42">
        <v>10.227878697143556</v>
      </c>
      <c r="N42">
        <v>10.113162772338868</v>
      </c>
      <c r="O42">
        <v>0.1622328166789623</v>
      </c>
      <c r="Q42">
        <v>0</v>
      </c>
      <c r="S42">
        <v>1</v>
      </c>
    </row>
    <row r="43" spans="1:19">
      <c r="A43" s="8" t="s">
        <v>213</v>
      </c>
      <c r="B43">
        <v>31.882300000000001</v>
      </c>
      <c r="C43">
        <v>28.911999999999999</v>
      </c>
      <c r="D43">
        <v>31.623999999999999</v>
      </c>
      <c r="F43">
        <v>21.484999999999999</v>
      </c>
      <c r="G43">
        <v>21.1022</v>
      </c>
      <c r="H43">
        <v>21.6234</v>
      </c>
      <c r="J43">
        <v>10.397300000000001</v>
      </c>
      <c r="K43">
        <v>7.8097999999999992</v>
      </c>
      <c r="L43">
        <v>10.000599999999999</v>
      </c>
      <c r="N43">
        <v>10.19895</v>
      </c>
      <c r="O43">
        <v>0.28050926009670529</v>
      </c>
      <c r="Q43">
        <v>8.5787227661132448E-2</v>
      </c>
      <c r="S43">
        <v>0.94227023207119232</v>
      </c>
    </row>
    <row r="44" spans="1:19">
      <c r="A44" s="8" t="s">
        <v>170</v>
      </c>
      <c r="B44">
        <v>31.899509999999999</v>
      </c>
      <c r="C44">
        <v>28.51943</v>
      </c>
      <c r="D44">
        <v>31.419339999999998</v>
      </c>
      <c r="F44">
        <v>21.104299999999999</v>
      </c>
      <c r="G44">
        <v>21.255199999999999</v>
      </c>
      <c r="H44">
        <v>21.119199999999999</v>
      </c>
      <c r="J44">
        <v>10.795210000000001</v>
      </c>
      <c r="K44">
        <v>7.2642300000000013</v>
      </c>
      <c r="L44">
        <v>10.300139999999999</v>
      </c>
      <c r="N44">
        <v>10.547675</v>
      </c>
      <c r="O44">
        <v>0.35006735416202545</v>
      </c>
      <c r="Q44">
        <v>0.4345122276611324</v>
      </c>
      <c r="S44">
        <v>0.73994388590139182</v>
      </c>
    </row>
    <row r="45" spans="1:19">
      <c r="A45" s="8" t="s">
        <v>380</v>
      </c>
      <c r="B45" s="8">
        <v>32.680941009521398</v>
      </c>
      <c r="C45" s="8">
        <v>32.815511779785098</v>
      </c>
      <c r="D45" s="8">
        <v>33.012747573852501</v>
      </c>
      <c r="E45" s="62"/>
      <c r="F45" s="8">
        <v>21.193429999999999</v>
      </c>
      <c r="G45" s="8">
        <v>21.586539999999999</v>
      </c>
      <c r="H45" s="8">
        <v>21.1934</v>
      </c>
      <c r="I45" s="62"/>
      <c r="J45" s="62">
        <v>11.487511009521398</v>
      </c>
      <c r="K45" s="62">
        <v>11.228971779785098</v>
      </c>
      <c r="L45" s="62">
        <v>11.8193475738525</v>
      </c>
      <c r="M45" s="62"/>
      <c r="N45" s="62">
        <v>11.511943454386332</v>
      </c>
      <c r="O45" s="8">
        <v>0.29594526998541026</v>
      </c>
      <c r="P45" s="8"/>
      <c r="Q45" s="8">
        <v>1.3987806820474642</v>
      </c>
      <c r="R45" s="8"/>
      <c r="S45" s="8">
        <v>0.37924953533202649</v>
      </c>
    </row>
  </sheetData>
  <mergeCells count="10">
    <mergeCell ref="B31:D31"/>
    <mergeCell ref="F31:H31"/>
    <mergeCell ref="B40:D40"/>
    <mergeCell ref="F40:H40"/>
    <mergeCell ref="B4:D4"/>
    <mergeCell ref="F4:H4"/>
    <mergeCell ref="B13:D13"/>
    <mergeCell ref="F13:H13"/>
    <mergeCell ref="B22:D22"/>
    <mergeCell ref="F22:H22"/>
  </mergeCells>
  <pageMargins left="0.7" right="0.7" top="0.75" bottom="0.75" header="0.3" footer="0.3"/>
  <pageSetup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"/>
  <sheetViews>
    <sheetView topLeftCell="A21" zoomScale="95" zoomScaleNormal="95" workbookViewId="0">
      <selection activeCell="F39" sqref="F39:H39"/>
    </sheetView>
  </sheetViews>
  <sheetFormatPr defaultRowHeight="15"/>
  <cols>
    <col min="1" max="1" width="19.28515625" customWidth="1"/>
    <col min="2" max="2" width="12.28515625" customWidth="1"/>
    <col min="3" max="3" width="11.5703125" customWidth="1"/>
  </cols>
  <sheetData>
    <row r="1" spans="1:19" ht="15.75">
      <c r="A1" s="48" t="s">
        <v>456</v>
      </c>
      <c r="B1" s="42"/>
      <c r="C1" s="42"/>
      <c r="D1" s="41" t="s">
        <v>458</v>
      </c>
      <c r="E1" s="41"/>
      <c r="F1" s="41"/>
      <c r="G1" s="41"/>
      <c r="H1" s="41"/>
      <c r="I1" s="42"/>
    </row>
    <row r="2" spans="1:19" ht="15.75">
      <c r="A2" s="48"/>
      <c r="B2" s="41" t="s">
        <v>435</v>
      </c>
      <c r="C2" s="42"/>
      <c r="D2" s="42"/>
      <c r="E2" s="42"/>
      <c r="F2" s="42"/>
      <c r="G2" s="42"/>
      <c r="H2" s="42"/>
    </row>
    <row r="3" spans="1:19">
      <c r="A3" s="70" t="s">
        <v>457</v>
      </c>
      <c r="B3" s="175" t="s">
        <v>181</v>
      </c>
      <c r="C3" s="175"/>
      <c r="D3" s="175"/>
      <c r="E3" s="21"/>
      <c r="F3" s="175" t="s">
        <v>799</v>
      </c>
      <c r="G3" s="175"/>
      <c r="H3" s="175"/>
      <c r="I3" s="21"/>
      <c r="J3" s="100" t="s">
        <v>191</v>
      </c>
      <c r="K3" s="21"/>
      <c r="L3" s="21"/>
      <c r="M3" s="21"/>
      <c r="N3" s="21" t="s">
        <v>183</v>
      </c>
      <c r="O3" s="21" t="s">
        <v>58</v>
      </c>
      <c r="P3" s="21"/>
      <c r="Q3" s="21" t="s">
        <v>185</v>
      </c>
      <c r="R3" s="21"/>
      <c r="S3" s="21" t="s">
        <v>186</v>
      </c>
    </row>
    <row r="4" spans="1:19">
      <c r="B4" s="21" t="s">
        <v>187</v>
      </c>
      <c r="C4" s="21" t="s">
        <v>188</v>
      </c>
      <c r="D4" s="21" t="s">
        <v>189</v>
      </c>
      <c r="E4" s="21"/>
      <c r="F4" s="21" t="s">
        <v>190</v>
      </c>
      <c r="G4" s="21" t="s">
        <v>188</v>
      </c>
      <c r="H4" s="21" t="s">
        <v>189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</row>
    <row r="5" spans="1:19">
      <c r="A5" s="8" t="s">
        <v>378</v>
      </c>
      <c r="B5" s="8">
        <v>31.829333999999999</v>
      </c>
      <c r="C5" s="8">
        <v>31.193200000000001</v>
      </c>
      <c r="D5" s="8">
        <v>31.488320000000002</v>
      </c>
      <c r="E5" s="62"/>
      <c r="F5" s="8">
        <v>21.382999999999999</v>
      </c>
      <c r="G5" s="8">
        <v>20.194320000000001</v>
      </c>
      <c r="H5" s="8">
        <v>20.74832</v>
      </c>
      <c r="I5" s="62"/>
      <c r="J5" s="62">
        <v>10.446334</v>
      </c>
      <c r="K5" s="62">
        <v>10.99888</v>
      </c>
      <c r="L5" s="62">
        <v>10.740000000000002</v>
      </c>
      <c r="M5" s="62"/>
      <c r="N5" s="62">
        <v>10.593167000000001</v>
      </c>
      <c r="O5" s="8">
        <v>0.20765322000392991</v>
      </c>
      <c r="P5" s="8"/>
      <c r="Q5" s="8">
        <v>0</v>
      </c>
      <c r="R5" s="8"/>
      <c r="S5" s="8">
        <v>1</v>
      </c>
    </row>
    <row r="6" spans="1:19">
      <c r="A6" s="8" t="s">
        <v>213</v>
      </c>
      <c r="B6" s="8">
        <v>31.612400000000001</v>
      </c>
      <c r="C6" s="8">
        <v>31.903500000000001</v>
      </c>
      <c r="D6" s="8">
        <v>31.889199999999999</v>
      </c>
      <c r="E6" s="62"/>
      <c r="F6" s="8">
        <v>20.039100000000001</v>
      </c>
      <c r="G6" s="8">
        <v>20.209399999999999</v>
      </c>
      <c r="H6" s="8">
        <v>20.199000000000002</v>
      </c>
      <c r="I6" s="62"/>
      <c r="J6" s="62">
        <v>11.5733</v>
      </c>
      <c r="K6" s="62">
        <v>11.694100000000002</v>
      </c>
      <c r="L6" s="62">
        <v>11.690199999999997</v>
      </c>
      <c r="M6" s="62"/>
      <c r="N6" s="62">
        <v>11.631749999999998</v>
      </c>
      <c r="O6" s="8">
        <v>8.2660782720705678E-2</v>
      </c>
      <c r="P6" s="8"/>
      <c r="Q6" s="8">
        <v>1.0385829999999974</v>
      </c>
      <c r="R6" s="8"/>
      <c r="S6" s="8">
        <v>0.48680537412703784</v>
      </c>
    </row>
    <row r="7" spans="1:19">
      <c r="A7" s="8" t="s">
        <v>170</v>
      </c>
      <c r="B7" s="8">
        <v>30.509340000000002</v>
      </c>
      <c r="C7" s="8">
        <v>31.339099999999998</v>
      </c>
      <c r="D7" s="8">
        <v>30.519200000000001</v>
      </c>
      <c r="E7" s="62"/>
      <c r="F7" s="8">
        <v>21.182300000000001</v>
      </c>
      <c r="G7" s="8">
        <v>20.583200000000001</v>
      </c>
      <c r="H7" s="8">
        <v>20.019300000000001</v>
      </c>
      <c r="I7" s="62"/>
      <c r="J7" s="62">
        <v>9.3270400000000002</v>
      </c>
      <c r="K7" s="62">
        <v>10.755899999999997</v>
      </c>
      <c r="L7" s="62">
        <v>10.4999</v>
      </c>
      <c r="M7" s="62"/>
      <c r="N7" s="62">
        <v>9.9134700000000002</v>
      </c>
      <c r="O7" s="8">
        <v>0.82933725938245406</v>
      </c>
      <c r="P7" s="8"/>
      <c r="Q7" s="8">
        <v>-0.67969700000000088</v>
      </c>
      <c r="R7" s="8"/>
      <c r="S7" s="8">
        <v>1.6018033033596801</v>
      </c>
    </row>
    <row r="8" spans="1:19">
      <c r="A8" s="8" t="s">
        <v>380</v>
      </c>
      <c r="B8" s="8">
        <v>34.74342</v>
      </c>
      <c r="C8" s="8">
        <v>35.584330000000001</v>
      </c>
      <c r="D8" s="8">
        <v>35.784320000000001</v>
      </c>
      <c r="E8" s="62"/>
      <c r="F8" s="8">
        <v>23.4834</v>
      </c>
      <c r="G8" s="8">
        <v>23.193242999999999</v>
      </c>
      <c r="H8" s="8">
        <v>23.383454</v>
      </c>
      <c r="I8" s="62"/>
      <c r="J8" s="62">
        <v>11.260020000000001</v>
      </c>
      <c r="K8" s="62">
        <v>12.391087000000002</v>
      </c>
      <c r="L8" s="62">
        <v>12.400866000000001</v>
      </c>
      <c r="M8" s="62"/>
      <c r="N8" s="62">
        <v>12.017324333333335</v>
      </c>
      <c r="O8" s="8">
        <v>0.65586301708080308</v>
      </c>
      <c r="P8" s="8"/>
      <c r="Q8" s="8">
        <v>1.4241573333333335</v>
      </c>
      <c r="R8" s="8"/>
      <c r="S8" s="8">
        <v>0.37263695650218404</v>
      </c>
    </row>
    <row r="11" spans="1:19" ht="15.75">
      <c r="A11" s="48"/>
      <c r="B11" s="41" t="s">
        <v>436</v>
      </c>
      <c r="C11" s="42"/>
      <c r="D11" s="42"/>
      <c r="E11" s="42"/>
      <c r="F11" s="42"/>
      <c r="G11" s="42"/>
      <c r="H11" s="42"/>
    </row>
    <row r="12" spans="1:19">
      <c r="A12" s="70" t="s">
        <v>457</v>
      </c>
      <c r="B12" s="175" t="s">
        <v>181</v>
      </c>
      <c r="C12" s="175"/>
      <c r="D12" s="175"/>
      <c r="E12" s="21"/>
      <c r="F12" s="175" t="s">
        <v>799</v>
      </c>
      <c r="G12" s="175"/>
      <c r="H12" s="175"/>
      <c r="I12" s="21"/>
      <c r="J12" s="100" t="s">
        <v>191</v>
      </c>
      <c r="K12" s="21"/>
      <c r="L12" s="21"/>
      <c r="M12" s="21"/>
      <c r="N12" s="21" t="s">
        <v>183</v>
      </c>
      <c r="O12" s="21" t="s">
        <v>58</v>
      </c>
      <c r="P12" s="21"/>
      <c r="Q12" s="21" t="s">
        <v>185</v>
      </c>
      <c r="R12" s="21"/>
      <c r="S12" s="21" t="s">
        <v>186</v>
      </c>
    </row>
    <row r="13" spans="1:19">
      <c r="B13" s="21" t="s">
        <v>187</v>
      </c>
      <c r="C13" s="21" t="s">
        <v>188</v>
      </c>
      <c r="D13" s="21" t="s">
        <v>189</v>
      </c>
      <c r="E13" s="21"/>
      <c r="F13" s="21" t="s">
        <v>190</v>
      </c>
      <c r="G13" s="21" t="s">
        <v>188</v>
      </c>
      <c r="H13" s="21" t="s">
        <v>189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</row>
    <row r="14" spans="1:19">
      <c r="A14" s="8" t="s">
        <v>378</v>
      </c>
      <c r="B14">
        <v>30.482340000000001</v>
      </c>
      <c r="C14">
        <v>30.182320000000001</v>
      </c>
      <c r="D14">
        <v>30.581230000000001</v>
      </c>
      <c r="F14">
        <v>20.329499999999999</v>
      </c>
      <c r="G14">
        <v>20.193339999999999</v>
      </c>
      <c r="H14">
        <v>20.743334000000001</v>
      </c>
      <c r="J14">
        <v>10.152840000000001</v>
      </c>
      <c r="K14">
        <v>9.9889800000000015</v>
      </c>
      <c r="L14">
        <v>9.8378960000000006</v>
      </c>
      <c r="N14">
        <v>9.9953680000000009</v>
      </c>
      <c r="O14">
        <v>0.22269903809401642</v>
      </c>
      <c r="Q14">
        <v>0</v>
      </c>
      <c r="S14">
        <v>1</v>
      </c>
    </row>
    <row r="15" spans="1:19">
      <c r="A15" s="8" t="s">
        <v>213</v>
      </c>
      <c r="B15">
        <v>31.204000000000001</v>
      </c>
      <c r="C15">
        <v>31.104299999999999</v>
      </c>
      <c r="D15">
        <v>31.324000000000002</v>
      </c>
      <c r="F15">
        <v>21.129300000000001</v>
      </c>
      <c r="G15">
        <v>20.495000000000001</v>
      </c>
      <c r="H15">
        <v>20.839099999999998</v>
      </c>
      <c r="J15">
        <v>10.0747</v>
      </c>
      <c r="K15">
        <v>10.609299999999998</v>
      </c>
      <c r="L15">
        <v>10.484900000000003</v>
      </c>
      <c r="N15">
        <v>10.279800000000002</v>
      </c>
      <c r="O15">
        <v>0.29005520164272408</v>
      </c>
      <c r="Q15">
        <v>0.28443200000000068</v>
      </c>
      <c r="S15">
        <v>0.82106480463649101</v>
      </c>
    </row>
    <row r="16" spans="1:19">
      <c r="A16" s="8" t="s">
        <v>170</v>
      </c>
      <c r="B16">
        <v>30.104299999999999</v>
      </c>
      <c r="C16">
        <v>30.5931</v>
      </c>
      <c r="D16">
        <v>30.8781</v>
      </c>
      <c r="F16">
        <v>20.313300000000002</v>
      </c>
      <c r="G16">
        <v>20.719200000000001</v>
      </c>
      <c r="H16">
        <v>20.192399999999999</v>
      </c>
      <c r="J16">
        <v>9.7909999999999968</v>
      </c>
      <c r="K16">
        <v>9.873899999999999</v>
      </c>
      <c r="L16">
        <v>10.685700000000001</v>
      </c>
      <c r="N16">
        <v>10.238349999999999</v>
      </c>
      <c r="O16">
        <v>0.63264843712760677</v>
      </c>
      <c r="Q16">
        <v>0.24298199999999781</v>
      </c>
      <c r="S16">
        <v>0.84499692707702267</v>
      </c>
    </row>
    <row r="17" spans="1:19">
      <c r="A17" s="8" t="s">
        <v>380</v>
      </c>
      <c r="B17" s="8">
        <v>35.781230000000001</v>
      </c>
      <c r="C17" s="8">
        <v>35.172339999999998</v>
      </c>
      <c r="D17" s="8">
        <v>35.623434000000003</v>
      </c>
      <c r="E17" s="62"/>
      <c r="F17" s="8">
        <v>22.438431210000001</v>
      </c>
      <c r="G17" s="8">
        <v>22.128454000000001</v>
      </c>
      <c r="H17" s="8">
        <v>22.284330000000001</v>
      </c>
      <c r="I17" s="62"/>
      <c r="J17" s="62">
        <v>13.34279879</v>
      </c>
      <c r="K17" s="62">
        <v>13.043885999999997</v>
      </c>
      <c r="L17" s="62">
        <v>13.339104000000003</v>
      </c>
      <c r="M17" s="62"/>
      <c r="N17" s="62">
        <v>13.241929596666665</v>
      </c>
      <c r="O17" s="8">
        <v>0.17152073490919065</v>
      </c>
      <c r="P17" s="8"/>
      <c r="Q17" s="8">
        <v>3.2465615966666643</v>
      </c>
      <c r="R17" s="8"/>
      <c r="S17" s="8">
        <v>0.10536286628439567</v>
      </c>
    </row>
    <row r="20" spans="1:19" ht="15.75">
      <c r="A20" s="48"/>
      <c r="B20" s="41" t="s">
        <v>437</v>
      </c>
      <c r="C20" s="42"/>
      <c r="D20" s="42"/>
      <c r="E20" s="42"/>
      <c r="F20" s="42"/>
      <c r="G20" s="42"/>
      <c r="H20" s="42"/>
    </row>
    <row r="21" spans="1:19">
      <c r="A21" s="70" t="s">
        <v>457</v>
      </c>
      <c r="B21" s="175" t="s">
        <v>181</v>
      </c>
      <c r="C21" s="175"/>
      <c r="D21" s="175"/>
      <c r="E21" s="21"/>
      <c r="F21" s="175" t="s">
        <v>799</v>
      </c>
      <c r="G21" s="175"/>
      <c r="H21" s="175"/>
      <c r="I21" s="21"/>
      <c r="J21" s="100" t="s">
        <v>191</v>
      </c>
      <c r="K21" s="21"/>
      <c r="L21" s="21"/>
      <c r="M21" s="21"/>
      <c r="N21" s="21" t="s">
        <v>183</v>
      </c>
      <c r="O21" s="21" t="s">
        <v>58</v>
      </c>
      <c r="P21" s="21"/>
      <c r="Q21" s="21" t="s">
        <v>185</v>
      </c>
      <c r="R21" s="21"/>
      <c r="S21" s="21" t="s">
        <v>186</v>
      </c>
    </row>
    <row r="22" spans="1:19">
      <c r="B22" s="21" t="s">
        <v>187</v>
      </c>
      <c r="C22" s="21" t="s">
        <v>188</v>
      </c>
      <c r="D22" s="21" t="s">
        <v>189</v>
      </c>
      <c r="E22" s="21"/>
      <c r="F22" s="21" t="s">
        <v>190</v>
      </c>
      <c r="G22" s="21" t="s">
        <v>188</v>
      </c>
      <c r="H22" s="21" t="s">
        <v>189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</row>
    <row r="23" spans="1:19">
      <c r="A23" s="8" t="s">
        <v>378</v>
      </c>
      <c r="B23">
        <v>31.12933</v>
      </c>
      <c r="C23">
        <v>31.382341</v>
      </c>
      <c r="D23">
        <v>31.888342000000002</v>
      </c>
      <c r="F23">
        <v>20.12942</v>
      </c>
      <c r="G23">
        <v>20.843233999999999</v>
      </c>
      <c r="H23">
        <v>20.834121</v>
      </c>
      <c r="J23">
        <v>10.99991</v>
      </c>
      <c r="K23">
        <v>10.539107000000001</v>
      </c>
      <c r="L23">
        <v>11.054221000000002</v>
      </c>
      <c r="N23">
        <v>11.027065500000001</v>
      </c>
      <c r="O23">
        <v>3.8403676393023993E-2</v>
      </c>
      <c r="Q23">
        <v>0</v>
      </c>
      <c r="S23">
        <v>1</v>
      </c>
    </row>
    <row r="24" spans="1:19">
      <c r="A24" s="8" t="s">
        <v>213</v>
      </c>
      <c r="B24">
        <v>31.882999999999999</v>
      </c>
      <c r="C24">
        <v>31.519300000000001</v>
      </c>
      <c r="D24">
        <v>31.7942</v>
      </c>
      <c r="F24">
        <v>21.1892</v>
      </c>
      <c r="G24">
        <v>20.293299999999999</v>
      </c>
      <c r="H24">
        <v>20.4191</v>
      </c>
      <c r="J24">
        <v>10.6938</v>
      </c>
      <c r="K24">
        <v>11.226000000000003</v>
      </c>
      <c r="L24">
        <v>11.3751</v>
      </c>
      <c r="N24">
        <v>11.03445</v>
      </c>
      <c r="O24">
        <v>0.48175185002239501</v>
      </c>
      <c r="Q24">
        <v>7.3844999999987948E-3</v>
      </c>
      <c r="S24">
        <v>0.99489453207644163</v>
      </c>
    </row>
    <row r="25" spans="1:19">
      <c r="A25" s="8" t="s">
        <v>170</v>
      </c>
      <c r="B25">
        <v>31.5943</v>
      </c>
      <c r="C25">
        <v>31.110399999999998</v>
      </c>
      <c r="D25">
        <v>31.4923</v>
      </c>
      <c r="F25">
        <v>20.9191</v>
      </c>
      <c r="G25">
        <v>20.6191</v>
      </c>
      <c r="H25">
        <v>20.392299999999999</v>
      </c>
      <c r="J25">
        <v>10.6752</v>
      </c>
      <c r="K25">
        <v>10.491299999999999</v>
      </c>
      <c r="L25">
        <v>11.100000000000001</v>
      </c>
      <c r="N25">
        <v>10.887600000000001</v>
      </c>
      <c r="O25">
        <v>0.30037896064804626</v>
      </c>
      <c r="Q25">
        <v>-0.13946550000000002</v>
      </c>
      <c r="S25">
        <v>1.1014969497856331</v>
      </c>
    </row>
    <row r="26" spans="1:19">
      <c r="A26" s="8" t="s">
        <v>380</v>
      </c>
      <c r="B26" s="8">
        <v>35.778120000000001</v>
      </c>
      <c r="C26" s="8">
        <v>35.372822999999997</v>
      </c>
      <c r="D26" s="8">
        <v>35.984312000000003</v>
      </c>
      <c r="E26" s="62"/>
      <c r="F26" s="8">
        <v>23.3812332</v>
      </c>
      <c r="G26" s="8">
        <v>23.539529999999999</v>
      </c>
      <c r="H26" s="8">
        <v>23.743843500000001</v>
      </c>
      <c r="I26" s="62"/>
      <c r="J26" s="62">
        <v>12.396886800000001</v>
      </c>
      <c r="K26" s="62">
        <v>11.833292999999998</v>
      </c>
      <c r="L26" s="62">
        <v>12.240468500000002</v>
      </c>
      <c r="M26" s="62"/>
      <c r="N26" s="62">
        <v>12.156882766666667</v>
      </c>
      <c r="O26" s="8">
        <v>0.29094574058106515</v>
      </c>
      <c r="P26" s="8"/>
      <c r="Q26" s="8">
        <v>1.1298172666666666</v>
      </c>
      <c r="R26" s="8"/>
      <c r="S26" s="8">
        <v>0.45697360222598382</v>
      </c>
    </row>
    <row r="29" spans="1:19" ht="15.75">
      <c r="A29" s="48"/>
      <c r="B29" s="41" t="s">
        <v>438</v>
      </c>
      <c r="C29" s="42"/>
      <c r="D29" s="42"/>
      <c r="E29" s="42"/>
      <c r="F29" s="42"/>
      <c r="G29" s="42"/>
      <c r="H29" s="42"/>
    </row>
    <row r="30" spans="1:19">
      <c r="A30" s="70" t="s">
        <v>457</v>
      </c>
      <c r="B30" s="175" t="s">
        <v>181</v>
      </c>
      <c r="C30" s="175"/>
      <c r="D30" s="175"/>
      <c r="E30" s="21"/>
      <c r="F30" s="175" t="s">
        <v>799</v>
      </c>
      <c r="G30" s="175"/>
      <c r="H30" s="175"/>
      <c r="I30" s="21"/>
      <c r="J30" s="100" t="s">
        <v>191</v>
      </c>
      <c r="K30" s="21"/>
      <c r="L30" s="21"/>
      <c r="M30" s="21"/>
      <c r="N30" s="21" t="s">
        <v>183</v>
      </c>
      <c r="O30" s="21" t="s">
        <v>58</v>
      </c>
      <c r="P30" s="21"/>
      <c r="Q30" s="21" t="s">
        <v>185</v>
      </c>
      <c r="R30" s="21"/>
      <c r="S30" s="21" t="s">
        <v>186</v>
      </c>
    </row>
    <row r="31" spans="1:19">
      <c r="B31" s="21" t="s">
        <v>187</v>
      </c>
      <c r="C31" s="21" t="s">
        <v>188</v>
      </c>
      <c r="D31" s="21" t="s">
        <v>189</v>
      </c>
      <c r="E31" s="21"/>
      <c r="F31" s="21" t="s">
        <v>190</v>
      </c>
      <c r="G31" s="21" t="s">
        <v>188</v>
      </c>
      <c r="H31" s="21" t="s">
        <v>189</v>
      </c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</row>
    <row r="32" spans="1:19">
      <c r="A32" s="8" t="s">
        <v>378</v>
      </c>
      <c r="B32">
        <v>31.771283</v>
      </c>
      <c r="C32">
        <v>31.842390999999999</v>
      </c>
      <c r="D32">
        <v>31.78912</v>
      </c>
      <c r="F32">
        <v>22.182312</v>
      </c>
      <c r="G32">
        <v>22.785343000000001</v>
      </c>
      <c r="H32">
        <v>22.844200000000001</v>
      </c>
      <c r="J32">
        <v>9.5889710000000008</v>
      </c>
      <c r="K32">
        <v>9.0570479999999982</v>
      </c>
      <c r="L32">
        <v>8.9449199999999998</v>
      </c>
      <c r="N32">
        <v>9.2669455000000003</v>
      </c>
      <c r="O32">
        <v>0.45541282952997786</v>
      </c>
      <c r="Q32">
        <v>0</v>
      </c>
      <c r="S32">
        <v>1</v>
      </c>
    </row>
    <row r="33" spans="1:19">
      <c r="A33" s="8" t="s">
        <v>213</v>
      </c>
      <c r="B33">
        <v>31.119299999999999</v>
      </c>
      <c r="C33">
        <v>31.321200000000001</v>
      </c>
      <c r="D33">
        <v>31.293199999999999</v>
      </c>
      <c r="F33">
        <v>21.791899999999998</v>
      </c>
      <c r="G33">
        <v>20.366099999999999</v>
      </c>
      <c r="H33">
        <v>20.748200000000001</v>
      </c>
      <c r="J33">
        <v>9.3274000000000008</v>
      </c>
      <c r="K33">
        <v>10.955100000000002</v>
      </c>
      <c r="L33">
        <v>10.544999999999998</v>
      </c>
      <c r="N33">
        <v>9.9361999999999995</v>
      </c>
      <c r="O33">
        <v>0.86097321677273841</v>
      </c>
      <c r="Q33">
        <v>0.6692544999999992</v>
      </c>
      <c r="S33">
        <v>0.62883154650207307</v>
      </c>
    </row>
    <row r="34" spans="1:19">
      <c r="A34" s="8" t="s">
        <v>170</v>
      </c>
      <c r="B34">
        <v>31.733899999999998</v>
      </c>
      <c r="C34">
        <v>31.548100000000002</v>
      </c>
      <c r="D34">
        <v>31.894300000000001</v>
      </c>
      <c r="F34">
        <v>22.248000000000001</v>
      </c>
      <c r="G34">
        <v>22.289000000000001</v>
      </c>
      <c r="H34">
        <v>22.019300000000001</v>
      </c>
      <c r="J34">
        <v>9.4858999999999973</v>
      </c>
      <c r="K34">
        <v>9.2591000000000001</v>
      </c>
      <c r="L34">
        <v>9.875</v>
      </c>
      <c r="N34">
        <v>9.6804499999999987</v>
      </c>
      <c r="O34">
        <v>0.27513524855968752</v>
      </c>
      <c r="Q34">
        <v>0.41350449999999839</v>
      </c>
      <c r="S34">
        <v>0.75079736916081696</v>
      </c>
    </row>
    <row r="35" spans="1:19">
      <c r="A35" s="8" t="s">
        <v>380</v>
      </c>
      <c r="B35" s="8">
        <v>35.193219999999997</v>
      </c>
      <c r="C35" s="8">
        <v>35.482193000000002</v>
      </c>
      <c r="D35" s="8">
        <v>35.918230000000001</v>
      </c>
      <c r="E35" s="62"/>
      <c r="F35" s="8">
        <v>22.849122999999999</v>
      </c>
      <c r="G35" s="8">
        <v>22.883216999999998</v>
      </c>
      <c r="H35" s="8">
        <v>22.812329099999999</v>
      </c>
      <c r="I35" s="62"/>
      <c r="J35" s="62">
        <v>12.344096999999998</v>
      </c>
      <c r="K35" s="62">
        <v>12.598976000000004</v>
      </c>
      <c r="L35" s="62">
        <v>13.105900900000002</v>
      </c>
      <c r="M35" s="62"/>
      <c r="N35" s="62">
        <v>12.682991300000003</v>
      </c>
      <c r="O35" s="8">
        <v>0.38778889036352127</v>
      </c>
      <c r="P35" s="8"/>
      <c r="Q35" s="8">
        <v>3.4160458000000027</v>
      </c>
      <c r="R35" s="8"/>
      <c r="S35" s="8">
        <v>9.3684500941148455E-2</v>
      </c>
    </row>
    <row r="38" spans="1:19" ht="15.75">
      <c r="A38" s="41"/>
      <c r="B38" s="41" t="s">
        <v>439</v>
      </c>
      <c r="C38" s="42"/>
      <c r="D38" s="42"/>
      <c r="E38" s="42"/>
      <c r="F38" s="42"/>
      <c r="G38" s="42"/>
      <c r="H38" s="42"/>
    </row>
    <row r="39" spans="1:19">
      <c r="A39" s="70" t="s">
        <v>457</v>
      </c>
      <c r="B39" s="175" t="s">
        <v>181</v>
      </c>
      <c r="C39" s="175"/>
      <c r="D39" s="175"/>
      <c r="E39" s="21"/>
      <c r="F39" s="175" t="s">
        <v>799</v>
      </c>
      <c r="G39" s="175"/>
      <c r="H39" s="175"/>
      <c r="I39" s="21"/>
      <c r="J39" s="100" t="s">
        <v>191</v>
      </c>
      <c r="K39" s="21"/>
      <c r="L39" s="21"/>
      <c r="M39" s="21"/>
      <c r="N39" s="21" t="s">
        <v>183</v>
      </c>
      <c r="O39" s="21" t="s">
        <v>58</v>
      </c>
      <c r="P39" s="21"/>
      <c r="Q39" s="21" t="s">
        <v>185</v>
      </c>
      <c r="R39" s="21"/>
      <c r="S39" s="21" t="s">
        <v>186</v>
      </c>
    </row>
    <row r="40" spans="1:19">
      <c r="B40" s="21" t="s">
        <v>187</v>
      </c>
      <c r="C40" s="21" t="s">
        <v>188</v>
      </c>
      <c r="D40" s="21" t="s">
        <v>189</v>
      </c>
      <c r="E40" s="21"/>
      <c r="F40" s="21" t="s">
        <v>190</v>
      </c>
      <c r="G40" s="21" t="s">
        <v>188</v>
      </c>
      <c r="H40" s="21" t="s">
        <v>189</v>
      </c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</row>
    <row r="41" spans="1:19">
      <c r="A41" s="8" t="s">
        <v>378</v>
      </c>
      <c r="B41">
        <v>32.128300000000003</v>
      </c>
      <c r="C41">
        <v>32.421349999999997</v>
      </c>
      <c r="D41">
        <v>32.561230000000002</v>
      </c>
      <c r="F41">
        <v>21.8323</v>
      </c>
      <c r="G41">
        <v>21.18243</v>
      </c>
      <c r="H41">
        <v>21.438220000000001</v>
      </c>
      <c r="J41">
        <v>10.296000000000003</v>
      </c>
      <c r="K41">
        <v>11.238919999999997</v>
      </c>
      <c r="L41">
        <v>11.123010000000001</v>
      </c>
      <c r="N41">
        <v>10.709505000000002</v>
      </c>
      <c r="O41">
        <v>0.5847843791090851</v>
      </c>
      <c r="Q41">
        <v>0</v>
      </c>
      <c r="S41">
        <v>1</v>
      </c>
    </row>
    <row r="42" spans="1:19">
      <c r="A42" s="8" t="s">
        <v>213</v>
      </c>
      <c r="B42">
        <v>32.493400000000001</v>
      </c>
      <c r="C42">
        <v>32.957000000000001</v>
      </c>
      <c r="D42">
        <v>32.291200000000003</v>
      </c>
      <c r="F42">
        <v>21.819099999999999</v>
      </c>
      <c r="G42">
        <v>21.119499999999999</v>
      </c>
      <c r="H42">
        <v>21.492000000000001</v>
      </c>
      <c r="J42">
        <v>10.674300000000002</v>
      </c>
      <c r="K42">
        <v>11.837500000000002</v>
      </c>
      <c r="L42">
        <v>10.799200000000003</v>
      </c>
      <c r="N42">
        <v>10.736750000000002</v>
      </c>
      <c r="O42">
        <v>8.8317636970199953E-2</v>
      </c>
      <c r="Q42">
        <v>2.724500000000063E-2</v>
      </c>
      <c r="S42">
        <v>0.98129240558709951</v>
      </c>
    </row>
    <row r="43" spans="1:19">
      <c r="A43" s="8" t="s">
        <v>170</v>
      </c>
      <c r="B43">
        <v>32.248199999999997</v>
      </c>
      <c r="C43">
        <v>32.192300000000003</v>
      </c>
      <c r="D43">
        <v>32.038400000000003</v>
      </c>
      <c r="F43">
        <v>21.3124</v>
      </c>
      <c r="G43">
        <v>21.8932</v>
      </c>
      <c r="H43">
        <v>21.192299999999999</v>
      </c>
      <c r="J43">
        <v>10.935799999999997</v>
      </c>
      <c r="K43">
        <v>10.299100000000003</v>
      </c>
      <c r="L43">
        <v>10.846100000000003</v>
      </c>
      <c r="N43">
        <v>10.89095</v>
      </c>
      <c r="O43">
        <v>6.3427478272428686E-2</v>
      </c>
      <c r="Q43">
        <v>0.1814449999999983</v>
      </c>
      <c r="S43">
        <v>0.88181932563616483</v>
      </c>
    </row>
    <row r="44" spans="1:19">
      <c r="A44" s="8" t="s">
        <v>380</v>
      </c>
      <c r="B44" s="8">
        <v>33.337812</v>
      </c>
      <c r="C44" s="8">
        <v>36.482309999999998</v>
      </c>
      <c r="D44" s="8">
        <v>32.812719999999999</v>
      </c>
      <c r="E44" s="62"/>
      <c r="F44" s="8">
        <v>23.482099999999999</v>
      </c>
      <c r="G44" s="8">
        <v>22.8432</v>
      </c>
      <c r="H44" s="8">
        <v>23.378119999999999</v>
      </c>
      <c r="I44" s="62"/>
      <c r="J44" s="62">
        <v>9.8557120000000005</v>
      </c>
      <c r="K44" s="62">
        <v>13.639109999999999</v>
      </c>
      <c r="L44" s="62">
        <v>9.4345999999999997</v>
      </c>
      <c r="M44" s="62"/>
      <c r="N44" s="62">
        <v>10.976474000000001</v>
      </c>
      <c r="O44" s="8">
        <v>2.3155035479368049</v>
      </c>
      <c r="P44" s="8"/>
      <c r="Q44" s="8">
        <v>0.26696899999999957</v>
      </c>
      <c r="R44" s="8"/>
      <c r="S44" s="8">
        <v>0.83106371893547493</v>
      </c>
    </row>
  </sheetData>
  <mergeCells count="10">
    <mergeCell ref="B30:D30"/>
    <mergeCell ref="F30:H30"/>
    <mergeCell ref="B39:D39"/>
    <mergeCell ref="F39:H39"/>
    <mergeCell ref="B3:D3"/>
    <mergeCell ref="F3:H3"/>
    <mergeCell ref="B12:D12"/>
    <mergeCell ref="F12:H12"/>
    <mergeCell ref="B21:D21"/>
    <mergeCell ref="F21:H21"/>
  </mergeCells>
  <pageMargins left="0.7" right="0.7" top="0.75" bottom="0.75" header="0.3" footer="0.3"/>
  <pageSetup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48"/>
  <sheetViews>
    <sheetView tabSelected="1" topLeftCell="B1" zoomScale="69" zoomScaleNormal="69" workbookViewId="0">
      <selection activeCell="D11" sqref="D11"/>
    </sheetView>
  </sheetViews>
  <sheetFormatPr defaultRowHeight="15"/>
  <cols>
    <col min="1" max="1" width="13.42578125" customWidth="1"/>
    <col min="4" max="4" width="56.5703125" customWidth="1"/>
  </cols>
  <sheetData>
    <row r="2" spans="1:23">
      <c r="A2" s="1" t="s">
        <v>752</v>
      </c>
    </row>
    <row r="4" spans="1:23">
      <c r="A4" s="1" t="s">
        <v>661</v>
      </c>
      <c r="F4" s="97" t="s">
        <v>701</v>
      </c>
      <c r="G4" s="97"/>
      <c r="H4" s="97"/>
      <c r="I4" s="97"/>
      <c r="J4" s="97"/>
      <c r="K4" s="97"/>
      <c r="L4" s="97"/>
      <c r="M4" s="97"/>
      <c r="N4" s="97"/>
      <c r="O4" s="97"/>
    </row>
    <row r="6" spans="1:23">
      <c r="A6" t="s">
        <v>665</v>
      </c>
    </row>
    <row r="8" spans="1:23">
      <c r="A8" s="1" t="s">
        <v>681</v>
      </c>
      <c r="B8" s="1" t="s">
        <v>588</v>
      </c>
    </row>
    <row r="9" spans="1:23">
      <c r="A9" s="1" t="s">
        <v>673</v>
      </c>
      <c r="B9">
        <v>4.8000000000000001E-2</v>
      </c>
    </row>
    <row r="10" spans="1:23">
      <c r="A10" s="1" t="s">
        <v>674</v>
      </c>
      <c r="B10">
        <v>0.189</v>
      </c>
    </row>
    <row r="11" spans="1:23">
      <c r="E11" s="169" t="s">
        <v>675</v>
      </c>
      <c r="F11" s="169"/>
      <c r="G11" s="169"/>
      <c r="H11" s="169"/>
      <c r="I11" s="169"/>
      <c r="J11" s="169"/>
      <c r="K11" s="169"/>
      <c r="L11" s="169"/>
      <c r="M11" s="169"/>
      <c r="N11" s="169"/>
      <c r="O11" s="169"/>
      <c r="P11" s="169"/>
      <c r="Q11" s="169"/>
      <c r="R11" s="169"/>
      <c r="S11" s="169"/>
      <c r="T11" s="169"/>
      <c r="U11" s="169"/>
      <c r="V11" s="169"/>
      <c r="W11" s="169"/>
    </row>
    <row r="12" spans="1:23">
      <c r="B12" s="1" t="s">
        <v>427</v>
      </c>
      <c r="E12" s="169" t="s">
        <v>541</v>
      </c>
      <c r="F12" s="171"/>
      <c r="G12" s="171"/>
      <c r="I12" s="169" t="s">
        <v>542</v>
      </c>
      <c r="J12" s="169"/>
      <c r="K12" s="169"/>
      <c r="L12" s="1"/>
      <c r="M12" s="169" t="s">
        <v>543</v>
      </c>
      <c r="N12" s="169"/>
      <c r="O12" s="169"/>
      <c r="P12" s="1"/>
      <c r="Q12" s="169" t="s">
        <v>544</v>
      </c>
      <c r="R12" s="169"/>
      <c r="S12" s="169"/>
      <c r="T12" s="1"/>
      <c r="U12" s="169" t="s">
        <v>545</v>
      </c>
      <c r="V12" s="169"/>
      <c r="W12" s="169"/>
    </row>
    <row r="13" spans="1:23">
      <c r="B13" t="s">
        <v>663</v>
      </c>
      <c r="E13">
        <v>4.8000000000000001E-2</v>
      </c>
      <c r="F13">
        <v>5.5E-2</v>
      </c>
      <c r="G13">
        <v>3.2000000000000001E-2</v>
      </c>
      <c r="I13">
        <v>0.95730000000000004</v>
      </c>
      <c r="J13">
        <v>0.753</v>
      </c>
      <c r="K13">
        <v>0.43430000000000002</v>
      </c>
      <c r="M13">
        <v>0.85699999999999998</v>
      </c>
      <c r="N13">
        <v>0.438</v>
      </c>
      <c r="O13">
        <v>0.57199999999999995</v>
      </c>
      <c r="Q13">
        <v>0.95199999999999996</v>
      </c>
      <c r="R13">
        <v>0.68400000000000005</v>
      </c>
      <c r="S13">
        <v>1.345</v>
      </c>
      <c r="U13">
        <v>1.5164</v>
      </c>
      <c r="V13">
        <v>1.4923</v>
      </c>
      <c r="W13">
        <v>1.5944</v>
      </c>
    </row>
    <row r="14" spans="1:23">
      <c r="B14" t="s">
        <v>175</v>
      </c>
      <c r="E14" s="11">
        <v>1.84</v>
      </c>
      <c r="F14" s="11">
        <v>1.748</v>
      </c>
      <c r="G14" s="11">
        <v>1.4750000000000001</v>
      </c>
      <c r="I14" s="11">
        <v>2.11</v>
      </c>
      <c r="J14" s="11">
        <v>2.58</v>
      </c>
      <c r="K14" s="11">
        <v>2.4300000000000002</v>
      </c>
      <c r="M14" s="11">
        <v>0.94499999999999995</v>
      </c>
      <c r="N14" s="11">
        <v>0.84699999999999998</v>
      </c>
      <c r="O14" s="11">
        <v>0.23699999999999999</v>
      </c>
      <c r="Q14">
        <v>1.5693999999999999</v>
      </c>
      <c r="R14">
        <v>1.6634</v>
      </c>
      <c r="S14">
        <v>1.8633</v>
      </c>
      <c r="U14" s="11">
        <v>1.4134</v>
      </c>
      <c r="V14" s="11">
        <v>1.1216999999999999</v>
      </c>
      <c r="W14" s="11">
        <v>1.0174000000000001</v>
      </c>
    </row>
    <row r="15" spans="1:23">
      <c r="B15" s="141" t="s">
        <v>204</v>
      </c>
      <c r="E15">
        <v>1.4850000000000001</v>
      </c>
      <c r="F15">
        <v>1.2829999999999999</v>
      </c>
      <c r="G15">
        <v>1.534</v>
      </c>
      <c r="I15">
        <v>1.274</v>
      </c>
      <c r="J15">
        <v>1.59</v>
      </c>
      <c r="K15">
        <v>1.4279999999999999</v>
      </c>
      <c r="M15">
        <v>2.38</v>
      </c>
      <c r="N15">
        <v>2.1840000000000002</v>
      </c>
      <c r="O15">
        <v>2.4300000000000002</v>
      </c>
      <c r="Q15">
        <v>1.2158</v>
      </c>
      <c r="R15">
        <v>1.3748</v>
      </c>
      <c r="S15">
        <v>1.7723</v>
      </c>
      <c r="U15">
        <v>2.3643000000000001</v>
      </c>
      <c r="V15">
        <v>2.5482999999999998</v>
      </c>
      <c r="W15">
        <v>2.9611999999999998</v>
      </c>
    </row>
    <row r="16" spans="1:23">
      <c r="B16" t="s">
        <v>177</v>
      </c>
      <c r="E16" s="11">
        <v>1.33</v>
      </c>
      <c r="F16" s="11">
        <v>1.375</v>
      </c>
      <c r="G16" s="11">
        <v>1.859</v>
      </c>
      <c r="I16" s="11">
        <v>2.48</v>
      </c>
      <c r="J16" s="11">
        <v>2.194</v>
      </c>
      <c r="K16" s="11">
        <v>2.8740000000000001</v>
      </c>
      <c r="M16" s="11">
        <v>3.11</v>
      </c>
      <c r="N16" s="11">
        <v>3.1840000000000002</v>
      </c>
      <c r="O16" s="11">
        <v>2.948</v>
      </c>
      <c r="Q16" s="11">
        <v>3.8694999999999999</v>
      </c>
      <c r="R16" s="11">
        <v>3.5611999999999999</v>
      </c>
      <c r="S16" s="11">
        <v>3.1132</v>
      </c>
      <c r="U16" s="11">
        <v>1.1121000000000001</v>
      </c>
      <c r="V16" s="11">
        <v>1.8849</v>
      </c>
      <c r="W16" s="11">
        <v>1.923</v>
      </c>
    </row>
    <row r="20" spans="2:23">
      <c r="B20" t="s">
        <v>676</v>
      </c>
      <c r="E20">
        <f>E13-B9</f>
        <v>0</v>
      </c>
      <c r="F20">
        <f t="shared" ref="F20:W20" si="0">F13-C9</f>
        <v>5.5E-2</v>
      </c>
      <c r="G20">
        <f t="shared" si="0"/>
        <v>3.2000000000000001E-2</v>
      </c>
      <c r="I20">
        <f t="shared" si="0"/>
        <v>0.95730000000000004</v>
      </c>
      <c r="J20">
        <f t="shared" si="0"/>
        <v>0.753</v>
      </c>
      <c r="K20">
        <f t="shared" si="0"/>
        <v>0.43430000000000002</v>
      </c>
      <c r="M20">
        <f t="shared" si="0"/>
        <v>0.85699999999999998</v>
      </c>
      <c r="N20">
        <f t="shared" si="0"/>
        <v>0.438</v>
      </c>
      <c r="O20">
        <f t="shared" si="0"/>
        <v>0.57199999999999995</v>
      </c>
      <c r="Q20">
        <f t="shared" si="0"/>
        <v>0.95199999999999996</v>
      </c>
      <c r="R20">
        <f t="shared" si="0"/>
        <v>0.68400000000000005</v>
      </c>
      <c r="S20">
        <f t="shared" si="0"/>
        <v>1.345</v>
      </c>
      <c r="U20">
        <f t="shared" si="0"/>
        <v>1.5164</v>
      </c>
      <c r="V20">
        <f t="shared" si="0"/>
        <v>1.4923</v>
      </c>
      <c r="W20">
        <f t="shared" si="0"/>
        <v>1.5944</v>
      </c>
    </row>
    <row r="21" spans="2:23">
      <c r="E21">
        <f t="shared" ref="E21:E22" si="1">E14-B10</f>
        <v>1.651</v>
      </c>
      <c r="F21">
        <f t="shared" ref="F21:F23" si="2">F14-C10</f>
        <v>1.748</v>
      </c>
      <c r="G21">
        <f t="shared" ref="G21:G23" si="3">G14-D10</f>
        <v>1.4750000000000001</v>
      </c>
      <c r="I21">
        <f t="shared" ref="I21:I23" si="4">I14-F10</f>
        <v>2.11</v>
      </c>
      <c r="J21">
        <f t="shared" ref="J21:J23" si="5">J14-G10</f>
        <v>2.58</v>
      </c>
      <c r="K21">
        <f t="shared" ref="K21:K23" si="6">K14-H10</f>
        <v>2.4300000000000002</v>
      </c>
      <c r="M21">
        <f t="shared" ref="M21:M23" si="7">M14-J10</f>
        <v>0.94499999999999995</v>
      </c>
      <c r="N21">
        <f t="shared" ref="N21:N23" si="8">N14-K10</f>
        <v>0.84699999999999998</v>
      </c>
      <c r="O21">
        <f t="shared" ref="O21:O23" si="9">O14-L10</f>
        <v>0.23699999999999999</v>
      </c>
      <c r="Q21">
        <f t="shared" ref="Q21:Q23" si="10">Q14-N10</f>
        <v>1.5693999999999999</v>
      </c>
      <c r="R21">
        <f t="shared" ref="R21:R23" si="11">R14-O10</f>
        <v>1.6634</v>
      </c>
      <c r="S21">
        <f t="shared" ref="S21:S23" si="12">S14-P10</f>
        <v>1.8633</v>
      </c>
      <c r="U21">
        <f t="shared" ref="U21:U23" si="13">U14-R10</f>
        <v>1.4134</v>
      </c>
      <c r="V21">
        <f t="shared" ref="V21:V23" si="14">V14-S10</f>
        <v>1.1216999999999999</v>
      </c>
      <c r="W21">
        <f t="shared" ref="W21:W23" si="15">W14-T10</f>
        <v>1.0174000000000001</v>
      </c>
    </row>
    <row r="22" spans="2:23">
      <c r="E22">
        <f t="shared" si="1"/>
        <v>1.4850000000000001</v>
      </c>
      <c r="F22">
        <f t="shared" si="2"/>
        <v>1.2829999999999999</v>
      </c>
      <c r="G22">
        <f t="shared" si="3"/>
        <v>1.534</v>
      </c>
      <c r="I22">
        <f t="shared" si="4"/>
        <v>1.274</v>
      </c>
      <c r="J22">
        <f t="shared" si="5"/>
        <v>1.59</v>
      </c>
      <c r="K22">
        <f t="shared" si="6"/>
        <v>1.4279999999999999</v>
      </c>
      <c r="M22">
        <f t="shared" si="7"/>
        <v>2.38</v>
      </c>
      <c r="N22">
        <f t="shared" si="8"/>
        <v>2.1840000000000002</v>
      </c>
      <c r="O22">
        <f t="shared" si="9"/>
        <v>2.4300000000000002</v>
      </c>
      <c r="Q22">
        <f t="shared" si="10"/>
        <v>1.2158</v>
      </c>
      <c r="R22">
        <f t="shared" si="11"/>
        <v>1.3748</v>
      </c>
      <c r="S22">
        <f t="shared" si="12"/>
        <v>1.7723</v>
      </c>
      <c r="U22">
        <f t="shared" si="13"/>
        <v>2.3643000000000001</v>
      </c>
      <c r="V22">
        <f t="shared" si="14"/>
        <v>2.5482999999999998</v>
      </c>
      <c r="W22">
        <f t="shared" si="15"/>
        <v>2.9611999999999998</v>
      </c>
    </row>
    <row r="23" spans="2:23">
      <c r="E23" s="11">
        <f>E16-B9</f>
        <v>1.282</v>
      </c>
      <c r="F23">
        <f t="shared" si="2"/>
        <v>1.375</v>
      </c>
      <c r="G23">
        <f t="shared" si="3"/>
        <v>1.859</v>
      </c>
      <c r="I23">
        <f t="shared" si="4"/>
        <v>2.48</v>
      </c>
      <c r="J23">
        <f t="shared" si="5"/>
        <v>2.194</v>
      </c>
      <c r="K23">
        <f t="shared" si="6"/>
        <v>2.8740000000000001</v>
      </c>
      <c r="M23">
        <f t="shared" si="7"/>
        <v>3.11</v>
      </c>
      <c r="N23">
        <f t="shared" si="8"/>
        <v>3.1840000000000002</v>
      </c>
      <c r="O23">
        <f t="shared" si="9"/>
        <v>2.948</v>
      </c>
      <c r="Q23">
        <f t="shared" si="10"/>
        <v>3.8694999999999999</v>
      </c>
      <c r="R23">
        <f t="shared" si="11"/>
        <v>3.5611999999999999</v>
      </c>
      <c r="S23">
        <f t="shared" si="12"/>
        <v>3.1132</v>
      </c>
      <c r="U23">
        <f t="shared" si="13"/>
        <v>1.1121000000000001</v>
      </c>
      <c r="V23">
        <f t="shared" si="14"/>
        <v>1.8849</v>
      </c>
      <c r="W23">
        <f t="shared" si="15"/>
        <v>1.923</v>
      </c>
    </row>
    <row r="27" spans="2:23">
      <c r="B27" t="s">
        <v>677</v>
      </c>
      <c r="E27">
        <f>B10-B9</f>
        <v>0.14100000000000001</v>
      </c>
      <c r="F27">
        <v>0.14100000000000001</v>
      </c>
      <c r="G27">
        <v>0.14100000000000001</v>
      </c>
      <c r="I27">
        <v>0.14100000000000001</v>
      </c>
      <c r="J27">
        <v>0.14100000000000001</v>
      </c>
      <c r="K27">
        <v>0.14100000000000001</v>
      </c>
      <c r="M27">
        <v>0.14100000000000001</v>
      </c>
      <c r="N27">
        <v>0.14100000000000001</v>
      </c>
      <c r="O27">
        <v>0.14100000000000001</v>
      </c>
      <c r="Q27">
        <v>0.14100000000000001</v>
      </c>
      <c r="R27">
        <v>0.14100000000000001</v>
      </c>
      <c r="S27">
        <v>0.14100000000000001</v>
      </c>
      <c r="U27">
        <v>0.14100000000000001</v>
      </c>
      <c r="V27">
        <v>0.14100000000000001</v>
      </c>
      <c r="W27">
        <v>0.14100000000000001</v>
      </c>
    </row>
    <row r="28" spans="2:23">
      <c r="E28">
        <v>0.14100000000000001</v>
      </c>
      <c r="F28">
        <v>0.14100000000000001</v>
      </c>
      <c r="G28">
        <v>0.14100000000000001</v>
      </c>
      <c r="I28">
        <v>0.14100000000000001</v>
      </c>
      <c r="J28">
        <v>0.14100000000000001</v>
      </c>
      <c r="K28">
        <v>0.14100000000000001</v>
      </c>
      <c r="M28">
        <v>0.14100000000000001</v>
      </c>
      <c r="N28">
        <v>0.14100000000000001</v>
      </c>
      <c r="O28">
        <v>0.14100000000000001</v>
      </c>
      <c r="Q28">
        <v>0.14100000000000001</v>
      </c>
      <c r="R28">
        <v>0.14100000000000001</v>
      </c>
      <c r="S28">
        <v>0.14100000000000001</v>
      </c>
      <c r="U28">
        <v>0.14100000000000001</v>
      </c>
      <c r="V28">
        <v>0.14100000000000001</v>
      </c>
      <c r="W28">
        <v>0.14100000000000001</v>
      </c>
    </row>
    <row r="29" spans="2:23">
      <c r="E29">
        <v>0.14100000000000001</v>
      </c>
      <c r="F29">
        <v>0.14100000000000001</v>
      </c>
      <c r="G29">
        <v>0.14100000000000001</v>
      </c>
      <c r="I29">
        <v>0.14100000000000001</v>
      </c>
      <c r="J29">
        <v>0.14100000000000001</v>
      </c>
      <c r="K29">
        <v>0.14100000000000001</v>
      </c>
      <c r="M29">
        <v>0.14100000000000001</v>
      </c>
      <c r="N29">
        <v>0.14100000000000001</v>
      </c>
      <c r="O29">
        <v>0.14100000000000001</v>
      </c>
      <c r="Q29">
        <v>0.14100000000000001</v>
      </c>
      <c r="R29">
        <v>0.14100000000000001</v>
      </c>
      <c r="S29">
        <v>0.14100000000000001</v>
      </c>
      <c r="U29">
        <v>0.14100000000000001</v>
      </c>
      <c r="V29">
        <v>0.14100000000000001</v>
      </c>
      <c r="W29">
        <v>0.14100000000000001</v>
      </c>
    </row>
    <row r="30" spans="2:23">
      <c r="E30">
        <v>0.14100000000000001</v>
      </c>
      <c r="F30">
        <v>0.14100000000000001</v>
      </c>
      <c r="G30">
        <v>0.14100000000000001</v>
      </c>
      <c r="I30">
        <v>0.14100000000000001</v>
      </c>
      <c r="J30">
        <v>0.14100000000000001</v>
      </c>
      <c r="K30">
        <v>0.14100000000000001</v>
      </c>
      <c r="M30">
        <v>0.14100000000000001</v>
      </c>
      <c r="N30">
        <v>0.14100000000000001</v>
      </c>
      <c r="O30">
        <v>0.14100000000000001</v>
      </c>
      <c r="Q30">
        <v>0.14100000000000001</v>
      </c>
      <c r="R30">
        <v>0.14100000000000001</v>
      </c>
      <c r="S30">
        <v>0.14100000000000001</v>
      </c>
      <c r="U30">
        <v>0.14100000000000001</v>
      </c>
      <c r="V30">
        <v>0.14100000000000001</v>
      </c>
      <c r="W30">
        <v>0.14100000000000001</v>
      </c>
    </row>
    <row r="32" spans="2:23">
      <c r="B32" t="s">
        <v>678</v>
      </c>
      <c r="E32">
        <f>E20/E27</f>
        <v>0</v>
      </c>
      <c r="F32">
        <f t="shared" ref="F32:W32" si="16">F20/F27</f>
        <v>0.39007092198581556</v>
      </c>
      <c r="G32">
        <f t="shared" si="16"/>
        <v>0.22695035460992907</v>
      </c>
      <c r="I32">
        <f t="shared" si="16"/>
        <v>6.7893617021276595</v>
      </c>
      <c r="J32">
        <f t="shared" si="16"/>
        <v>5.3404255319148932</v>
      </c>
      <c r="K32">
        <f t="shared" si="16"/>
        <v>3.080141843971631</v>
      </c>
      <c r="M32">
        <f t="shared" si="16"/>
        <v>6.078014184397162</v>
      </c>
      <c r="N32">
        <f t="shared" si="16"/>
        <v>3.1063829787234041</v>
      </c>
      <c r="O32">
        <f t="shared" si="16"/>
        <v>4.0567375886524815</v>
      </c>
      <c r="Q32">
        <f t="shared" si="16"/>
        <v>6.7517730496453892</v>
      </c>
      <c r="R32">
        <f t="shared" si="16"/>
        <v>4.8510638297872335</v>
      </c>
      <c r="S32">
        <f t="shared" si="16"/>
        <v>9.539007092198581</v>
      </c>
      <c r="U32">
        <f t="shared" si="16"/>
        <v>10.754609929078013</v>
      </c>
      <c r="V32">
        <f t="shared" si="16"/>
        <v>10.58368794326241</v>
      </c>
      <c r="W32">
        <f t="shared" si="16"/>
        <v>11.307801418439716</v>
      </c>
    </row>
    <row r="33" spans="2:23">
      <c r="E33">
        <f t="shared" ref="E33:W33" si="17">E21/E28</f>
        <v>11.709219858156027</v>
      </c>
      <c r="F33">
        <f t="shared" si="17"/>
        <v>12.397163120567374</v>
      </c>
      <c r="G33">
        <f t="shared" si="17"/>
        <v>10.460992907801417</v>
      </c>
      <c r="I33">
        <f t="shared" si="17"/>
        <v>14.964539007092196</v>
      </c>
      <c r="J33">
        <f t="shared" si="17"/>
        <v>18.297872340425531</v>
      </c>
      <c r="K33">
        <f t="shared" si="17"/>
        <v>17.23404255319149</v>
      </c>
      <c r="M33">
        <f t="shared" si="17"/>
        <v>6.702127659574467</v>
      </c>
      <c r="N33">
        <f t="shared" si="17"/>
        <v>6.0070921985815593</v>
      </c>
      <c r="O33">
        <f t="shared" si="17"/>
        <v>1.6808510638297869</v>
      </c>
      <c r="Q33">
        <f t="shared" si="17"/>
        <v>11.130496453900708</v>
      </c>
      <c r="R33">
        <f t="shared" si="17"/>
        <v>11.797163120567374</v>
      </c>
      <c r="S33">
        <f t="shared" si="17"/>
        <v>13.214893617021275</v>
      </c>
      <c r="U33">
        <f t="shared" si="17"/>
        <v>10.024113475177304</v>
      </c>
      <c r="V33">
        <f t="shared" si="17"/>
        <v>7.9553191489361685</v>
      </c>
      <c r="W33">
        <f t="shared" si="17"/>
        <v>7.215602836879432</v>
      </c>
    </row>
    <row r="34" spans="2:23">
      <c r="E34">
        <f t="shared" ref="E34:W34" si="18">E22/E29</f>
        <v>10.531914893617021</v>
      </c>
      <c r="F34">
        <f t="shared" si="18"/>
        <v>9.0992907801418426</v>
      </c>
      <c r="G34">
        <f t="shared" si="18"/>
        <v>10.879432624113475</v>
      </c>
      <c r="I34">
        <f t="shared" si="18"/>
        <v>9.0354609929078009</v>
      </c>
      <c r="J34">
        <f t="shared" si="18"/>
        <v>11.276595744680851</v>
      </c>
      <c r="K34">
        <f t="shared" si="18"/>
        <v>10.127659574468083</v>
      </c>
      <c r="M34">
        <f t="shared" si="18"/>
        <v>16.879432624113473</v>
      </c>
      <c r="N34">
        <f t="shared" si="18"/>
        <v>15.48936170212766</v>
      </c>
      <c r="O34">
        <f t="shared" si="18"/>
        <v>17.23404255319149</v>
      </c>
      <c r="Q34">
        <f t="shared" si="18"/>
        <v>8.6226950354609926</v>
      </c>
      <c r="R34">
        <f t="shared" si="18"/>
        <v>9.7503546099290777</v>
      </c>
      <c r="S34">
        <f t="shared" si="18"/>
        <v>12.569503546099289</v>
      </c>
      <c r="U34">
        <f t="shared" si="18"/>
        <v>16.768085106382976</v>
      </c>
      <c r="V34">
        <f t="shared" si="18"/>
        <v>18.073049645390068</v>
      </c>
      <c r="W34">
        <f t="shared" si="18"/>
        <v>21.001418439716307</v>
      </c>
    </row>
    <row r="35" spans="2:23">
      <c r="E35">
        <f t="shared" ref="E35:W35" si="19">E23/E30</f>
        <v>9.0921985815602824</v>
      </c>
      <c r="F35">
        <f t="shared" si="19"/>
        <v>9.7517730496453883</v>
      </c>
      <c r="G35">
        <f t="shared" si="19"/>
        <v>13.184397163120567</v>
      </c>
      <c r="I35">
        <f t="shared" si="19"/>
        <v>17.588652482269502</v>
      </c>
      <c r="J35">
        <f t="shared" si="19"/>
        <v>15.56028368794326</v>
      </c>
      <c r="K35">
        <f t="shared" si="19"/>
        <v>20.382978723404253</v>
      </c>
      <c r="M35">
        <f t="shared" si="19"/>
        <v>22.056737588652478</v>
      </c>
      <c r="N35">
        <f t="shared" si="19"/>
        <v>22.581560283687942</v>
      </c>
      <c r="O35">
        <f t="shared" si="19"/>
        <v>20.907801418439714</v>
      </c>
      <c r="Q35">
        <f t="shared" si="19"/>
        <v>27.443262411347515</v>
      </c>
      <c r="R35">
        <f t="shared" si="19"/>
        <v>25.256737588652481</v>
      </c>
      <c r="S35">
        <f t="shared" si="19"/>
        <v>22.079432624113473</v>
      </c>
      <c r="U35">
        <f t="shared" si="19"/>
        <v>7.8872340425531915</v>
      </c>
      <c r="V35">
        <f t="shared" si="19"/>
        <v>13.368085106382978</v>
      </c>
      <c r="W35">
        <f t="shared" si="19"/>
        <v>13.638297872340425</v>
      </c>
    </row>
    <row r="38" spans="2:23">
      <c r="B38" t="s">
        <v>679</v>
      </c>
      <c r="E38">
        <f>E32*10</f>
        <v>0</v>
      </c>
      <c r="F38">
        <f t="shared" ref="F38:W38" si="20">F32*10</f>
        <v>3.9007092198581557</v>
      </c>
      <c r="G38">
        <f t="shared" si="20"/>
        <v>2.2695035460992905</v>
      </c>
      <c r="I38">
        <f t="shared" si="20"/>
        <v>67.893617021276597</v>
      </c>
      <c r="J38">
        <f t="shared" si="20"/>
        <v>53.40425531914893</v>
      </c>
      <c r="K38">
        <f t="shared" si="20"/>
        <v>30.801418439716311</v>
      </c>
      <c r="M38">
        <f t="shared" si="20"/>
        <v>60.78014184397162</v>
      </c>
      <c r="N38">
        <f t="shared" si="20"/>
        <v>31.063829787234042</v>
      </c>
      <c r="O38">
        <f t="shared" si="20"/>
        <v>40.567375886524815</v>
      </c>
      <c r="Q38">
        <f t="shared" si="20"/>
        <v>67.517730496453893</v>
      </c>
      <c r="R38">
        <f t="shared" si="20"/>
        <v>48.510638297872333</v>
      </c>
      <c r="S38">
        <f t="shared" si="20"/>
        <v>95.39007092198581</v>
      </c>
      <c r="U38">
        <f t="shared" si="20"/>
        <v>107.54609929078013</v>
      </c>
      <c r="V38">
        <f t="shared" si="20"/>
        <v>105.8368794326241</v>
      </c>
      <c r="W38">
        <f t="shared" si="20"/>
        <v>113.07801418439716</v>
      </c>
    </row>
    <row r="39" spans="2:23">
      <c r="E39">
        <f t="shared" ref="E39:W39" si="21">E33*10</f>
        <v>117.09219858156027</v>
      </c>
      <c r="F39">
        <f t="shared" si="21"/>
        <v>123.97163120567373</v>
      </c>
      <c r="G39">
        <f t="shared" si="21"/>
        <v>104.60992907801418</v>
      </c>
      <c r="I39">
        <f t="shared" si="21"/>
        <v>149.64539007092196</v>
      </c>
      <c r="J39">
        <f t="shared" si="21"/>
        <v>182.97872340425531</v>
      </c>
      <c r="K39">
        <f t="shared" si="21"/>
        <v>172.34042553191489</v>
      </c>
      <c r="M39">
        <f t="shared" si="21"/>
        <v>67.021276595744666</v>
      </c>
      <c r="N39">
        <f t="shared" si="21"/>
        <v>60.070921985815595</v>
      </c>
      <c r="O39">
        <f t="shared" si="21"/>
        <v>16.808510638297868</v>
      </c>
      <c r="Q39">
        <f t="shared" si="21"/>
        <v>111.30496453900707</v>
      </c>
      <c r="R39">
        <f t="shared" si="21"/>
        <v>117.97163120567375</v>
      </c>
      <c r="S39">
        <f t="shared" si="21"/>
        <v>132.14893617021275</v>
      </c>
      <c r="U39">
        <f t="shared" si="21"/>
        <v>100.24113475177303</v>
      </c>
      <c r="V39">
        <f t="shared" si="21"/>
        <v>79.55319148936168</v>
      </c>
      <c r="W39">
        <f t="shared" si="21"/>
        <v>72.156028368794324</v>
      </c>
    </row>
    <row r="40" spans="2:23">
      <c r="E40">
        <f t="shared" ref="E40:W40" si="22">E34*10</f>
        <v>105.31914893617021</v>
      </c>
      <c r="F40">
        <f t="shared" si="22"/>
        <v>90.992907801418426</v>
      </c>
      <c r="G40">
        <f t="shared" si="22"/>
        <v>108.79432624113475</v>
      </c>
      <c r="I40">
        <f t="shared" si="22"/>
        <v>90.354609929078009</v>
      </c>
      <c r="J40">
        <f t="shared" si="22"/>
        <v>112.7659574468085</v>
      </c>
      <c r="K40">
        <f t="shared" si="22"/>
        <v>101.27659574468083</v>
      </c>
      <c r="M40">
        <f t="shared" si="22"/>
        <v>168.79432624113474</v>
      </c>
      <c r="N40">
        <f t="shared" si="22"/>
        <v>154.89361702127661</v>
      </c>
      <c r="O40">
        <f t="shared" si="22"/>
        <v>172.34042553191489</v>
      </c>
      <c r="Q40">
        <f t="shared" si="22"/>
        <v>86.226950354609926</v>
      </c>
      <c r="R40">
        <f t="shared" si="22"/>
        <v>97.503546099290773</v>
      </c>
      <c r="S40">
        <f t="shared" si="22"/>
        <v>125.6950354609929</v>
      </c>
      <c r="U40">
        <f t="shared" si="22"/>
        <v>167.68085106382978</v>
      </c>
      <c r="V40">
        <f t="shared" si="22"/>
        <v>180.73049645390068</v>
      </c>
      <c r="W40">
        <f t="shared" si="22"/>
        <v>210.01418439716306</v>
      </c>
    </row>
    <row r="41" spans="2:23">
      <c r="E41">
        <f t="shared" ref="E41:W41" si="23">E35*10</f>
        <v>90.921985815602824</v>
      </c>
      <c r="F41">
        <f t="shared" si="23"/>
        <v>97.517730496453879</v>
      </c>
      <c r="G41">
        <f t="shared" si="23"/>
        <v>131.84397163120568</v>
      </c>
      <c r="I41">
        <f t="shared" si="23"/>
        <v>175.88652482269504</v>
      </c>
      <c r="J41">
        <f t="shared" si="23"/>
        <v>155.6028368794326</v>
      </c>
      <c r="K41">
        <f t="shared" si="23"/>
        <v>203.82978723404253</v>
      </c>
      <c r="M41">
        <f t="shared" si="23"/>
        <v>220.56737588652479</v>
      </c>
      <c r="N41">
        <f t="shared" si="23"/>
        <v>225.81560283687941</v>
      </c>
      <c r="O41">
        <f t="shared" si="23"/>
        <v>209.07801418439715</v>
      </c>
      <c r="Q41">
        <f t="shared" si="23"/>
        <v>274.43262411347513</v>
      </c>
      <c r="R41">
        <f t="shared" si="23"/>
        <v>252.56737588652481</v>
      </c>
      <c r="S41">
        <f t="shared" si="23"/>
        <v>220.79432624113474</v>
      </c>
      <c r="U41">
        <f t="shared" si="23"/>
        <v>78.872340425531917</v>
      </c>
      <c r="V41">
        <f t="shared" si="23"/>
        <v>133.68085106382978</v>
      </c>
      <c r="W41">
        <f t="shared" si="23"/>
        <v>136.38297872340425</v>
      </c>
    </row>
    <row r="45" spans="2:23">
      <c r="B45" t="s">
        <v>385</v>
      </c>
      <c r="E45">
        <f>AVERAGE(E38:G38)</f>
        <v>2.0567375886524819</v>
      </c>
      <c r="I45">
        <f t="shared" ref="I45:U45" si="24">AVERAGE(I38:K38)</f>
        <v>50.699763593380617</v>
      </c>
      <c r="M45">
        <f t="shared" si="24"/>
        <v>44.137115839243485</v>
      </c>
      <c r="Q45">
        <f t="shared" si="24"/>
        <v>70.472813238770684</v>
      </c>
      <c r="U45">
        <f t="shared" si="24"/>
        <v>108.82033096926712</v>
      </c>
    </row>
    <row r="46" spans="2:23">
      <c r="E46">
        <f t="shared" ref="E46:E48" si="25">AVERAGE(E39:G39)</f>
        <v>115.22458628841605</v>
      </c>
      <c r="I46">
        <f t="shared" ref="I46:I48" si="26">AVERAGE(I39:K39)</f>
        <v>168.32151300236407</v>
      </c>
      <c r="M46">
        <f t="shared" ref="M46:M48" si="27">AVERAGE(M39:O39)</f>
        <v>47.966903073286041</v>
      </c>
      <c r="Q46">
        <f t="shared" ref="Q46:Q48" si="28">AVERAGE(Q39:S39)</f>
        <v>120.47517730496452</v>
      </c>
      <c r="U46">
        <f t="shared" ref="U46:U48" si="29">AVERAGE(U39:W39)</f>
        <v>83.983451536643017</v>
      </c>
    </row>
    <row r="47" spans="2:23">
      <c r="E47">
        <f t="shared" si="25"/>
        <v>101.70212765957446</v>
      </c>
      <c r="I47">
        <f t="shared" si="26"/>
        <v>101.46572104018912</v>
      </c>
      <c r="M47">
        <f t="shared" si="27"/>
        <v>165.34278959810874</v>
      </c>
      <c r="Q47">
        <f t="shared" si="28"/>
        <v>103.14184397163119</v>
      </c>
      <c r="U47">
        <f t="shared" si="29"/>
        <v>186.14184397163118</v>
      </c>
    </row>
    <row r="48" spans="2:23">
      <c r="E48">
        <f t="shared" si="25"/>
        <v>106.7612293144208</v>
      </c>
      <c r="I48">
        <f t="shared" si="26"/>
        <v>178.43971631205673</v>
      </c>
      <c r="M48">
        <f t="shared" si="27"/>
        <v>218.48699763593379</v>
      </c>
      <c r="Q48">
        <f t="shared" si="28"/>
        <v>249.26477541371159</v>
      </c>
      <c r="U48">
        <f t="shared" si="29"/>
        <v>116.31205673758865</v>
      </c>
    </row>
  </sheetData>
  <mergeCells count="6">
    <mergeCell ref="E11:W11"/>
    <mergeCell ref="E12:G12"/>
    <mergeCell ref="I12:K12"/>
    <mergeCell ref="M12:O12"/>
    <mergeCell ref="Q12:S12"/>
    <mergeCell ref="U12:W12"/>
  </mergeCells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54"/>
  <sheetViews>
    <sheetView topLeftCell="A29" zoomScale="80" zoomScaleNormal="80" workbookViewId="0">
      <selection activeCell="A2" sqref="A2"/>
    </sheetView>
  </sheetViews>
  <sheetFormatPr defaultRowHeight="15"/>
  <cols>
    <col min="1" max="1" width="28" customWidth="1"/>
    <col min="2" max="2" width="15.5703125" customWidth="1"/>
    <col min="4" max="4" width="12.28515625" customWidth="1"/>
    <col min="5" max="5" width="13" bestFit="1" customWidth="1"/>
  </cols>
  <sheetData>
    <row r="2" spans="1:23">
      <c r="A2" s="1" t="s">
        <v>753</v>
      </c>
      <c r="B2" s="97" t="s">
        <v>702</v>
      </c>
      <c r="C2" s="97"/>
      <c r="D2" s="97"/>
      <c r="E2" s="97"/>
      <c r="F2" s="97"/>
      <c r="G2" s="97"/>
      <c r="H2" s="97"/>
      <c r="I2" s="97"/>
      <c r="J2" s="97"/>
      <c r="K2" s="97"/>
      <c r="L2" s="140"/>
    </row>
    <row r="4" spans="1:23">
      <c r="A4" s="1" t="s">
        <v>664</v>
      </c>
    </row>
    <row r="6" spans="1:23">
      <c r="A6" t="s">
        <v>83</v>
      </c>
    </row>
    <row r="8" spans="1:23">
      <c r="A8" t="s">
        <v>662</v>
      </c>
    </row>
    <row r="10" spans="1:23">
      <c r="A10" s="1" t="s">
        <v>681</v>
      </c>
      <c r="B10" s="1" t="s">
        <v>588</v>
      </c>
    </row>
    <row r="11" spans="1:23">
      <c r="A11" t="s">
        <v>680</v>
      </c>
      <c r="B11">
        <v>3.0000000000000001E-3</v>
      </c>
    </row>
    <row r="12" spans="1:23">
      <c r="A12" t="s">
        <v>682</v>
      </c>
      <c r="B12">
        <v>0.5</v>
      </c>
    </row>
    <row r="14" spans="1:23">
      <c r="D14" s="1" t="s">
        <v>427</v>
      </c>
      <c r="E14" s="169" t="s">
        <v>541</v>
      </c>
      <c r="F14" s="171"/>
      <c r="G14" s="171"/>
      <c r="I14" s="169" t="s">
        <v>542</v>
      </c>
      <c r="J14" s="169"/>
      <c r="K14" s="169"/>
      <c r="L14" s="1"/>
      <c r="M14" s="169" t="s">
        <v>543</v>
      </c>
      <c r="N14" s="169"/>
      <c r="O14" s="169"/>
      <c r="P14" s="1"/>
      <c r="Q14" s="169" t="s">
        <v>544</v>
      </c>
      <c r="R14" s="169"/>
      <c r="S14" s="169"/>
      <c r="T14" s="1"/>
      <c r="U14" s="169" t="s">
        <v>545</v>
      </c>
      <c r="V14" s="169"/>
      <c r="W14" s="169"/>
    </row>
    <row r="15" spans="1:23">
      <c r="D15" t="s">
        <v>663</v>
      </c>
      <c r="E15">
        <v>0.73429999999999995</v>
      </c>
      <c r="F15">
        <v>0.73880000000000001</v>
      </c>
      <c r="G15">
        <v>0.73960000000000004</v>
      </c>
      <c r="I15">
        <v>0.84965999999999997</v>
      </c>
      <c r="J15">
        <v>0.8458</v>
      </c>
      <c r="K15">
        <v>0.84550000000000003</v>
      </c>
      <c r="M15">
        <v>0.63490000000000002</v>
      </c>
      <c r="N15">
        <v>0.63880000000000003</v>
      </c>
      <c r="O15">
        <v>0.63970000000000005</v>
      </c>
      <c r="Q15">
        <v>0.94520000000000004</v>
      </c>
      <c r="R15">
        <v>0.94969999999999999</v>
      </c>
      <c r="S15">
        <v>0.94110000000000005</v>
      </c>
      <c r="U15">
        <v>1.0548</v>
      </c>
      <c r="V15">
        <v>1.0510999999999999</v>
      </c>
      <c r="W15">
        <v>1.0597000000000001</v>
      </c>
    </row>
    <row r="16" spans="1:23">
      <c r="D16" t="s">
        <v>175</v>
      </c>
      <c r="E16">
        <v>1.8957999999999999</v>
      </c>
      <c r="F16">
        <v>1.8956999999999999</v>
      </c>
      <c r="G16">
        <v>1.8954</v>
      </c>
      <c r="I16" s="11">
        <v>2.0383399999999998</v>
      </c>
      <c r="J16" s="11">
        <v>2.0314000000000001</v>
      </c>
      <c r="K16" s="11">
        <v>2.0383</v>
      </c>
      <c r="M16" s="11">
        <v>1.8964000000000001</v>
      </c>
      <c r="N16" s="11">
        <v>1.8963000000000001</v>
      </c>
      <c r="O16" s="11">
        <v>1.8924000000000001</v>
      </c>
      <c r="Q16" s="11">
        <v>1.7952999999999999</v>
      </c>
      <c r="R16" s="11">
        <v>1.7964</v>
      </c>
      <c r="S16" s="11">
        <v>1.7983</v>
      </c>
      <c r="U16" s="11">
        <v>2.1833999999999998</v>
      </c>
      <c r="V16" s="11">
        <v>2.1120999999999999</v>
      </c>
      <c r="W16" s="11">
        <v>2.4927999999999999</v>
      </c>
    </row>
    <row r="17" spans="1:23">
      <c r="D17" s="141" t="s">
        <v>204</v>
      </c>
      <c r="E17">
        <v>1.8954</v>
      </c>
      <c r="F17">
        <v>1.8951</v>
      </c>
      <c r="G17">
        <v>1.8957999999999999</v>
      </c>
      <c r="I17">
        <v>1.4987999999999999</v>
      </c>
      <c r="J17">
        <v>1.49841</v>
      </c>
      <c r="K17">
        <v>1.4984999999999999</v>
      </c>
      <c r="M17">
        <v>1.2945</v>
      </c>
      <c r="N17">
        <v>1.2972999999999999</v>
      </c>
      <c r="O17">
        <v>1.2990999999999999</v>
      </c>
      <c r="Q17">
        <v>1.7568999999999999</v>
      </c>
      <c r="R17">
        <v>1.7527999999999999</v>
      </c>
      <c r="S17">
        <v>1.7574000000000001</v>
      </c>
      <c r="U17">
        <v>2.1294</v>
      </c>
      <c r="V17">
        <v>2.1217999999999999</v>
      </c>
      <c r="W17">
        <v>2.1273</v>
      </c>
    </row>
    <row r="18" spans="1:23">
      <c r="D18" t="s">
        <v>177</v>
      </c>
      <c r="E18">
        <v>2.9622999999999999</v>
      </c>
      <c r="F18">
        <v>2.9664000000000001</v>
      </c>
      <c r="G18">
        <v>2.9699</v>
      </c>
      <c r="I18" s="11">
        <v>2.5832000000000002</v>
      </c>
      <c r="J18" s="11">
        <v>2.5821999999999998</v>
      </c>
      <c r="K18" s="11">
        <v>2.5832000000000002</v>
      </c>
      <c r="M18" s="11">
        <v>1.3230999999999999</v>
      </c>
      <c r="N18" s="11">
        <v>1.3286</v>
      </c>
      <c r="O18" s="11">
        <v>1.3266</v>
      </c>
      <c r="Q18" s="11">
        <v>2.9540000000000002</v>
      </c>
      <c r="R18" s="11">
        <v>2.2942999999999998</v>
      </c>
      <c r="S18" s="11">
        <v>2.11043</v>
      </c>
      <c r="U18" s="11">
        <v>3.0194299999999998</v>
      </c>
      <c r="V18" s="11">
        <v>3.3499300000000001</v>
      </c>
      <c r="W18" s="11">
        <v>3.5591200000000001</v>
      </c>
    </row>
    <row r="21" spans="1:23">
      <c r="A21" t="s">
        <v>683</v>
      </c>
      <c r="E21">
        <f>E15-B11</f>
        <v>0.73129999999999995</v>
      </c>
      <c r="F21">
        <f t="shared" ref="F21:W21" si="0">F15-C11</f>
        <v>0.73880000000000001</v>
      </c>
      <c r="G21">
        <f t="shared" si="0"/>
        <v>0.73960000000000004</v>
      </c>
      <c r="I21">
        <f t="shared" si="0"/>
        <v>0.84965999999999997</v>
      </c>
      <c r="J21">
        <f t="shared" si="0"/>
        <v>0.8458</v>
      </c>
      <c r="K21">
        <f t="shared" si="0"/>
        <v>0.84550000000000003</v>
      </c>
      <c r="M21">
        <f t="shared" si="0"/>
        <v>0.63490000000000002</v>
      </c>
      <c r="N21">
        <f t="shared" si="0"/>
        <v>0.63880000000000003</v>
      </c>
      <c r="O21">
        <f t="shared" si="0"/>
        <v>0.63970000000000005</v>
      </c>
      <c r="Q21">
        <f t="shared" si="0"/>
        <v>0.94520000000000004</v>
      </c>
      <c r="R21">
        <f t="shared" si="0"/>
        <v>0.94969999999999999</v>
      </c>
      <c r="S21">
        <f t="shared" si="0"/>
        <v>0.94110000000000005</v>
      </c>
      <c r="U21">
        <f t="shared" si="0"/>
        <v>1.0548</v>
      </c>
      <c r="V21">
        <f t="shared" si="0"/>
        <v>1.0510999999999999</v>
      </c>
      <c r="W21">
        <f t="shared" si="0"/>
        <v>1.0597000000000001</v>
      </c>
    </row>
    <row r="22" spans="1:23">
      <c r="E22">
        <f t="shared" ref="E22:E24" si="1">E16-B12</f>
        <v>1.3957999999999999</v>
      </c>
      <c r="F22">
        <f t="shared" ref="F22:F24" si="2">F16-C12</f>
        <v>1.8956999999999999</v>
      </c>
      <c r="G22">
        <f t="shared" ref="G22:G23" si="3">G16-D12</f>
        <v>1.8954</v>
      </c>
      <c r="I22">
        <f t="shared" ref="I22:I24" si="4">I16-F12</f>
        <v>2.0383399999999998</v>
      </c>
      <c r="J22">
        <f t="shared" ref="J22:J24" si="5">J16-G12</f>
        <v>2.0314000000000001</v>
      </c>
      <c r="K22">
        <f t="shared" ref="K22:K24" si="6">K16-H12</f>
        <v>2.0383</v>
      </c>
      <c r="M22">
        <f t="shared" ref="M22:M24" si="7">M16-J12</f>
        <v>1.8964000000000001</v>
      </c>
      <c r="N22">
        <f t="shared" ref="N22:N24" si="8">N16-K12</f>
        <v>1.8963000000000001</v>
      </c>
      <c r="O22">
        <f t="shared" ref="O22:O24" si="9">O16-L12</f>
        <v>1.8924000000000001</v>
      </c>
      <c r="Q22">
        <f t="shared" ref="Q22:Q24" si="10">Q16-N12</f>
        <v>1.7952999999999999</v>
      </c>
      <c r="R22">
        <f t="shared" ref="R22:R24" si="11">R16-O12</f>
        <v>1.7964</v>
      </c>
      <c r="S22">
        <f t="shared" ref="S22:S24" si="12">S16-P12</f>
        <v>1.7983</v>
      </c>
      <c r="U22">
        <f t="shared" ref="U22:U24" si="13">U16-R12</f>
        <v>2.1833999999999998</v>
      </c>
      <c r="V22">
        <f t="shared" ref="V22:V24" si="14">V16-S12</f>
        <v>2.1120999999999999</v>
      </c>
      <c r="W22">
        <f t="shared" ref="W22:W24" si="15">W16-T12</f>
        <v>2.4927999999999999</v>
      </c>
    </row>
    <row r="23" spans="1:23">
      <c r="E23">
        <f t="shared" si="1"/>
        <v>1.8954</v>
      </c>
      <c r="F23">
        <f t="shared" si="2"/>
        <v>1.8951</v>
      </c>
      <c r="G23">
        <f t="shared" si="3"/>
        <v>1.8957999999999999</v>
      </c>
      <c r="I23">
        <f t="shared" si="4"/>
        <v>1.4987999999999999</v>
      </c>
      <c r="J23">
        <f t="shared" si="5"/>
        <v>1.49841</v>
      </c>
      <c r="K23">
        <f t="shared" si="6"/>
        <v>1.4984999999999999</v>
      </c>
      <c r="M23">
        <f t="shared" si="7"/>
        <v>1.2945</v>
      </c>
      <c r="N23">
        <f t="shared" si="8"/>
        <v>1.2972999999999999</v>
      </c>
      <c r="O23">
        <f t="shared" si="9"/>
        <v>1.2990999999999999</v>
      </c>
      <c r="Q23">
        <f t="shared" si="10"/>
        <v>1.7568999999999999</v>
      </c>
      <c r="R23">
        <f t="shared" si="11"/>
        <v>1.7527999999999999</v>
      </c>
      <c r="S23">
        <f t="shared" si="12"/>
        <v>1.7574000000000001</v>
      </c>
      <c r="U23">
        <f t="shared" si="13"/>
        <v>2.1294</v>
      </c>
      <c r="V23">
        <f t="shared" si="14"/>
        <v>2.1217999999999999</v>
      </c>
      <c r="W23">
        <f t="shared" si="15"/>
        <v>2.1273</v>
      </c>
    </row>
    <row r="24" spans="1:23">
      <c r="E24">
        <f t="shared" si="1"/>
        <v>2.9622999999999999</v>
      </c>
      <c r="F24">
        <f t="shared" si="2"/>
        <v>2.9664000000000001</v>
      </c>
      <c r="G24">
        <f>G18-B11</f>
        <v>2.9668999999999999</v>
      </c>
      <c r="I24">
        <f t="shared" si="4"/>
        <v>2.5832000000000002</v>
      </c>
      <c r="J24">
        <f t="shared" si="5"/>
        <v>2.5821999999999998</v>
      </c>
      <c r="K24">
        <f t="shared" si="6"/>
        <v>2.5832000000000002</v>
      </c>
      <c r="M24">
        <f t="shared" si="7"/>
        <v>1.3230999999999999</v>
      </c>
      <c r="N24">
        <f t="shared" si="8"/>
        <v>1.3286</v>
      </c>
      <c r="O24">
        <f t="shared" si="9"/>
        <v>1.3266</v>
      </c>
      <c r="Q24">
        <f t="shared" si="10"/>
        <v>2.9540000000000002</v>
      </c>
      <c r="R24">
        <f t="shared" si="11"/>
        <v>2.2942999999999998</v>
      </c>
      <c r="S24">
        <f t="shared" si="12"/>
        <v>2.11043</v>
      </c>
      <c r="U24">
        <f t="shared" si="13"/>
        <v>3.0194299999999998</v>
      </c>
      <c r="V24">
        <f t="shared" si="14"/>
        <v>3.3499300000000001</v>
      </c>
      <c r="W24">
        <f t="shared" si="15"/>
        <v>3.5591200000000001</v>
      </c>
    </row>
    <row r="26" spans="1:23">
      <c r="A26" t="s">
        <v>684</v>
      </c>
      <c r="E26">
        <v>65.38</v>
      </c>
      <c r="F26">
        <v>63.29</v>
      </c>
      <c r="G26">
        <v>66.23</v>
      </c>
      <c r="I26">
        <v>45.29</v>
      </c>
      <c r="J26">
        <v>45.66</v>
      </c>
      <c r="K26">
        <v>45.19</v>
      </c>
      <c r="M26">
        <v>35.96</v>
      </c>
      <c r="N26">
        <v>34.19</v>
      </c>
      <c r="O26">
        <v>35.81</v>
      </c>
      <c r="Q26">
        <v>22.19</v>
      </c>
      <c r="R26">
        <v>22.68</v>
      </c>
      <c r="S26">
        <v>22.43</v>
      </c>
      <c r="U26">
        <v>25.28</v>
      </c>
      <c r="V26">
        <v>25.93</v>
      </c>
      <c r="W26">
        <v>25.82</v>
      </c>
    </row>
    <row r="27" spans="1:23">
      <c r="E27">
        <v>35.58</v>
      </c>
      <c r="F27">
        <v>34.19</v>
      </c>
      <c r="G27">
        <v>34.11</v>
      </c>
      <c r="I27">
        <v>61.92</v>
      </c>
      <c r="J27">
        <v>61.39</v>
      </c>
      <c r="K27">
        <v>67.39</v>
      </c>
      <c r="M27">
        <v>44.29</v>
      </c>
      <c r="N27">
        <v>44.19</v>
      </c>
      <c r="O27">
        <v>44.91</v>
      </c>
      <c r="Q27">
        <v>28.49</v>
      </c>
      <c r="R27">
        <v>28.53</v>
      </c>
      <c r="S27">
        <v>28.66</v>
      </c>
      <c r="U27">
        <v>38.479999999999997</v>
      </c>
      <c r="V27">
        <v>38.270000000000003</v>
      </c>
      <c r="W27">
        <v>38.22</v>
      </c>
    </row>
    <row r="28" spans="1:23">
      <c r="E28">
        <v>45.83</v>
      </c>
      <c r="F28">
        <v>45.11</v>
      </c>
      <c r="G28">
        <v>45.43</v>
      </c>
      <c r="I28">
        <v>23.58</v>
      </c>
      <c r="J28">
        <v>23.95</v>
      </c>
      <c r="K28">
        <v>23.8</v>
      </c>
      <c r="M28">
        <v>54.84</v>
      </c>
      <c r="N28">
        <v>54.18</v>
      </c>
      <c r="O28">
        <v>54.28</v>
      </c>
      <c r="Q28">
        <v>65.28</v>
      </c>
      <c r="R28">
        <v>65.19</v>
      </c>
      <c r="S28">
        <v>65.91</v>
      </c>
      <c r="U28">
        <v>74.12</v>
      </c>
      <c r="V28">
        <v>72.12</v>
      </c>
      <c r="W28">
        <v>74.272999999999996</v>
      </c>
    </row>
    <row r="29" spans="1:23">
      <c r="E29">
        <v>21.17</v>
      </c>
      <c r="F29">
        <v>21.33</v>
      </c>
      <c r="G29">
        <v>21.48</v>
      </c>
      <c r="I29">
        <v>34.58</v>
      </c>
      <c r="J29">
        <v>34.82</v>
      </c>
      <c r="K29">
        <v>34.11</v>
      </c>
      <c r="M29">
        <v>30.18</v>
      </c>
      <c r="N29">
        <v>30.88</v>
      </c>
      <c r="O29">
        <v>30.72</v>
      </c>
      <c r="Q29">
        <v>31.38</v>
      </c>
      <c r="R29">
        <v>31.38</v>
      </c>
      <c r="S29">
        <v>31.83</v>
      </c>
      <c r="U29">
        <v>28.28</v>
      </c>
      <c r="V29">
        <v>28.22</v>
      </c>
      <c r="W29">
        <v>28.94</v>
      </c>
    </row>
    <row r="32" spans="1:23">
      <c r="A32" t="s">
        <v>685</v>
      </c>
      <c r="E32">
        <f>22*0.5*E26*1000</f>
        <v>719180</v>
      </c>
      <c r="F32">
        <f t="shared" ref="F32:W32" si="16">22*0.5*F26*1000</f>
        <v>696189.99999999988</v>
      </c>
      <c r="G32">
        <f t="shared" si="16"/>
        <v>728530.00000000012</v>
      </c>
      <c r="I32">
        <f t="shared" si="16"/>
        <v>498190</v>
      </c>
      <c r="J32">
        <f t="shared" si="16"/>
        <v>502260</v>
      </c>
      <c r="K32">
        <f t="shared" si="16"/>
        <v>497090</v>
      </c>
      <c r="M32">
        <f t="shared" si="16"/>
        <v>395560</v>
      </c>
      <c r="N32">
        <f t="shared" si="16"/>
        <v>376090</v>
      </c>
      <c r="O32">
        <f t="shared" si="16"/>
        <v>393910</v>
      </c>
      <c r="Q32">
        <f t="shared" si="16"/>
        <v>244090</v>
      </c>
      <c r="R32">
        <f t="shared" si="16"/>
        <v>249480</v>
      </c>
      <c r="S32">
        <f t="shared" si="16"/>
        <v>246730</v>
      </c>
      <c r="U32">
        <f t="shared" si="16"/>
        <v>278080.00000000006</v>
      </c>
      <c r="V32">
        <f t="shared" si="16"/>
        <v>285230</v>
      </c>
      <c r="W32">
        <f t="shared" si="16"/>
        <v>284020</v>
      </c>
    </row>
    <row r="33" spans="1:23">
      <c r="E33">
        <f t="shared" ref="E33:V33" si="17">22*0.5*E27*1000</f>
        <v>391380</v>
      </c>
      <c r="F33">
        <f t="shared" si="17"/>
        <v>376090</v>
      </c>
      <c r="G33">
        <f t="shared" si="17"/>
        <v>375210</v>
      </c>
      <c r="I33">
        <f t="shared" si="17"/>
        <v>681120</v>
      </c>
      <c r="J33">
        <f t="shared" si="17"/>
        <v>675290</v>
      </c>
      <c r="K33">
        <f t="shared" si="17"/>
        <v>741290</v>
      </c>
      <c r="M33">
        <f t="shared" si="17"/>
        <v>487190</v>
      </c>
      <c r="N33">
        <f t="shared" si="17"/>
        <v>486090</v>
      </c>
      <c r="O33">
        <f t="shared" si="17"/>
        <v>494010</v>
      </c>
      <c r="Q33">
        <f t="shared" si="17"/>
        <v>313390</v>
      </c>
      <c r="R33">
        <f t="shared" si="17"/>
        <v>313830.00000000006</v>
      </c>
      <c r="S33">
        <f t="shared" si="17"/>
        <v>315260</v>
      </c>
      <c r="U33">
        <f t="shared" si="17"/>
        <v>423280</v>
      </c>
      <c r="V33">
        <f t="shared" si="17"/>
        <v>420970</v>
      </c>
      <c r="W33">
        <f>22*0.5*W27*1000</f>
        <v>420419.99999999994</v>
      </c>
    </row>
    <row r="34" spans="1:23">
      <c r="E34">
        <f t="shared" ref="E34:W34" si="18">22*0.5*E28*1000</f>
        <v>504130</v>
      </c>
      <c r="F34">
        <f t="shared" si="18"/>
        <v>496210</v>
      </c>
      <c r="G34">
        <f t="shared" si="18"/>
        <v>499730</v>
      </c>
      <c r="I34">
        <f t="shared" si="18"/>
        <v>259380</v>
      </c>
      <c r="J34">
        <f t="shared" si="18"/>
        <v>263450</v>
      </c>
      <c r="K34">
        <f t="shared" si="18"/>
        <v>261800</v>
      </c>
      <c r="M34">
        <f t="shared" si="18"/>
        <v>603240</v>
      </c>
      <c r="N34">
        <f t="shared" si="18"/>
        <v>595980</v>
      </c>
      <c r="O34">
        <f t="shared" si="18"/>
        <v>597080</v>
      </c>
      <c r="Q34">
        <f t="shared" si="18"/>
        <v>718080</v>
      </c>
      <c r="R34">
        <f t="shared" si="18"/>
        <v>717089.99999999988</v>
      </c>
      <c r="S34">
        <f t="shared" si="18"/>
        <v>725010</v>
      </c>
      <c r="U34">
        <f t="shared" si="18"/>
        <v>815320</v>
      </c>
      <c r="V34">
        <f t="shared" si="18"/>
        <v>793320</v>
      </c>
      <c r="W34">
        <f t="shared" si="18"/>
        <v>817002.99999999988</v>
      </c>
    </row>
    <row r="35" spans="1:23">
      <c r="E35">
        <f>22*0.5*E29*1000</f>
        <v>232870</v>
      </c>
      <c r="F35">
        <f t="shared" ref="F35:W35" si="19">22*0.5*F29*1000</f>
        <v>234630</v>
      </c>
      <c r="G35">
        <f t="shared" si="19"/>
        <v>236280</v>
      </c>
      <c r="I35">
        <f t="shared" si="19"/>
        <v>380380</v>
      </c>
      <c r="J35">
        <f t="shared" si="19"/>
        <v>383020</v>
      </c>
      <c r="K35">
        <f t="shared" si="19"/>
        <v>375210</v>
      </c>
      <c r="M35">
        <f t="shared" si="19"/>
        <v>331980</v>
      </c>
      <c r="N35">
        <f t="shared" si="19"/>
        <v>339680</v>
      </c>
      <c r="O35">
        <f t="shared" si="19"/>
        <v>337919.99999999994</v>
      </c>
      <c r="Q35">
        <f t="shared" si="19"/>
        <v>345180</v>
      </c>
      <c r="R35">
        <f t="shared" si="19"/>
        <v>345180</v>
      </c>
      <c r="S35">
        <f t="shared" si="19"/>
        <v>350130</v>
      </c>
      <c r="U35">
        <f t="shared" si="19"/>
        <v>311080.00000000006</v>
      </c>
      <c r="V35">
        <f t="shared" si="19"/>
        <v>310419.99999999994</v>
      </c>
      <c r="W35">
        <f t="shared" si="19"/>
        <v>318340.00000000006</v>
      </c>
    </row>
    <row r="38" spans="1:23">
      <c r="A38" t="s">
        <v>686</v>
      </c>
      <c r="E38">
        <f>E21/E32</f>
        <v>1.0168525264885007E-6</v>
      </c>
      <c r="F38">
        <f t="shared" ref="F38:W38" si="20">F21/F32</f>
        <v>1.0612045562274668E-6</v>
      </c>
      <c r="G38">
        <f t="shared" si="20"/>
        <v>1.0151949816754285E-6</v>
      </c>
      <c r="I38">
        <f t="shared" si="20"/>
        <v>1.7054938878741043E-6</v>
      </c>
      <c r="J38">
        <f t="shared" si="20"/>
        <v>1.6839883725560467E-6</v>
      </c>
      <c r="K38">
        <f t="shared" si="20"/>
        <v>1.7008992335391983E-6</v>
      </c>
      <c r="M38">
        <f t="shared" si="20"/>
        <v>1.6050662352108404E-6</v>
      </c>
      <c r="N38">
        <f t="shared" si="20"/>
        <v>1.6985296072748544E-6</v>
      </c>
      <c r="O38">
        <f t="shared" si="20"/>
        <v>1.623975019674545E-6</v>
      </c>
      <c r="Q38">
        <f t="shared" si="20"/>
        <v>3.8723421688721371E-6</v>
      </c>
      <c r="R38">
        <f t="shared" si="20"/>
        <v>3.80671797338464E-6</v>
      </c>
      <c r="S38">
        <f t="shared" si="20"/>
        <v>3.814290925302963E-6</v>
      </c>
      <c r="U38">
        <f t="shared" si="20"/>
        <v>3.7931530494821623E-6</v>
      </c>
      <c r="V38">
        <f t="shared" si="20"/>
        <v>3.6850962381236192E-6</v>
      </c>
      <c r="W38">
        <f t="shared" si="20"/>
        <v>3.731075276388987E-6</v>
      </c>
    </row>
    <row r="39" spans="1:23">
      <c r="E39">
        <f t="shared" ref="E39:W39" si="21">E22/E33</f>
        <v>3.5663549491542746E-6</v>
      </c>
      <c r="F39">
        <f t="shared" si="21"/>
        <v>5.0405488048073595E-6</v>
      </c>
      <c r="G39">
        <f t="shared" si="21"/>
        <v>5.0515711201727036E-6</v>
      </c>
      <c r="I39">
        <f t="shared" si="21"/>
        <v>2.9926297862344373E-6</v>
      </c>
      <c r="J39">
        <f t="shared" si="21"/>
        <v>3.008189074323624E-6</v>
      </c>
      <c r="K39">
        <f t="shared" si="21"/>
        <v>2.7496661225701144E-6</v>
      </c>
      <c r="M39">
        <f t="shared" si="21"/>
        <v>3.8925265296906753E-6</v>
      </c>
      <c r="N39">
        <f t="shared" si="21"/>
        <v>3.9011294204776895E-6</v>
      </c>
      <c r="O39">
        <f t="shared" si="21"/>
        <v>3.830691686403109E-6</v>
      </c>
      <c r="Q39">
        <f t="shared" si="21"/>
        <v>5.7286448195539101E-6</v>
      </c>
      <c r="R39">
        <f t="shared" si="21"/>
        <v>5.724118153140234E-6</v>
      </c>
      <c r="S39">
        <f t="shared" si="21"/>
        <v>5.7041806762672077E-6</v>
      </c>
      <c r="U39">
        <f t="shared" si="21"/>
        <v>5.1582876582876576E-6</v>
      </c>
      <c r="V39">
        <f t="shared" si="21"/>
        <v>5.0172221298429817E-6</v>
      </c>
      <c r="W39">
        <f t="shared" si="21"/>
        <v>5.9293087864516444E-6</v>
      </c>
    </row>
    <row r="40" spans="1:23">
      <c r="E40">
        <f t="shared" ref="E40:W40" si="22">E23/E34</f>
        <v>3.759744510344554E-6</v>
      </c>
      <c r="F40">
        <f t="shared" si="22"/>
        <v>3.8191491505612544E-6</v>
      </c>
      <c r="G40">
        <f t="shared" si="22"/>
        <v>3.7936485702279228E-6</v>
      </c>
      <c r="I40">
        <f t="shared" si="22"/>
        <v>5.7783946333564653E-6</v>
      </c>
      <c r="J40">
        <f t="shared" si="22"/>
        <v>5.687644714367053E-6</v>
      </c>
      <c r="K40">
        <f t="shared" si="22"/>
        <v>5.7238349885408708E-6</v>
      </c>
      <c r="M40">
        <f t="shared" si="22"/>
        <v>2.1459120747961009E-6</v>
      </c>
      <c r="N40">
        <f t="shared" si="22"/>
        <v>2.1767508976811302E-6</v>
      </c>
      <c r="O40">
        <f t="shared" si="22"/>
        <v>2.1757553426676491E-6</v>
      </c>
      <c r="Q40">
        <f t="shared" si="22"/>
        <v>2.4466633244206774E-6</v>
      </c>
      <c r="R40">
        <f t="shared" si="22"/>
        <v>2.4443235856029231E-6</v>
      </c>
      <c r="S40">
        <f t="shared" si="22"/>
        <v>2.4239665659784003E-6</v>
      </c>
      <c r="U40">
        <f t="shared" si="22"/>
        <v>2.6117352695874011E-6</v>
      </c>
      <c r="V40">
        <f t="shared" si="22"/>
        <v>2.6745827660969092E-6</v>
      </c>
      <c r="W40">
        <f t="shared" si="22"/>
        <v>2.6037848086237139E-6</v>
      </c>
    </row>
    <row r="41" spans="1:23">
      <c r="E41">
        <f t="shared" ref="E41:W41" si="23">E24/E35</f>
        <v>1.2720831365139347E-5</v>
      </c>
      <c r="F41">
        <f t="shared" si="23"/>
        <v>1.264288454161872E-5</v>
      </c>
      <c r="G41">
        <f t="shared" si="23"/>
        <v>1.2556712375148128E-5</v>
      </c>
      <c r="I41">
        <f t="shared" si="23"/>
        <v>6.791103633208897E-6</v>
      </c>
      <c r="J41">
        <f t="shared" si="23"/>
        <v>6.7416845073364313E-6</v>
      </c>
      <c r="K41">
        <f t="shared" si="23"/>
        <v>6.8846779137016611E-6</v>
      </c>
      <c r="M41">
        <f t="shared" si="23"/>
        <v>3.9854810530754867E-6</v>
      </c>
      <c r="N41">
        <f t="shared" si="23"/>
        <v>3.9113283089967027E-6</v>
      </c>
      <c r="O41">
        <f t="shared" si="23"/>
        <v>3.925781250000001E-6</v>
      </c>
      <c r="Q41">
        <f t="shared" si="23"/>
        <v>8.5578538733414463E-6</v>
      </c>
      <c r="R41">
        <f t="shared" si="23"/>
        <v>6.6466770960078793E-6</v>
      </c>
      <c r="S41">
        <f t="shared" si="23"/>
        <v>6.0275611915574214E-6</v>
      </c>
      <c r="U41">
        <f t="shared" si="23"/>
        <v>9.7062813424199539E-6</v>
      </c>
      <c r="V41">
        <f t="shared" si="23"/>
        <v>1.0791604922363253E-5</v>
      </c>
      <c r="W41">
        <f t="shared" si="23"/>
        <v>1.1180247534083054E-5</v>
      </c>
    </row>
    <row r="45" spans="1:23">
      <c r="A45" t="s">
        <v>687</v>
      </c>
      <c r="E45">
        <f>E38*12500000</f>
        <v>12.710656581106258</v>
      </c>
      <c r="F45">
        <f t="shared" ref="F45:W45" si="24">F38*12500000</f>
        <v>13.265056952843334</v>
      </c>
      <c r="G45">
        <f t="shared" si="24"/>
        <v>12.689937270942856</v>
      </c>
      <c r="I45">
        <f t="shared" si="24"/>
        <v>21.318673598426304</v>
      </c>
      <c r="J45">
        <f t="shared" si="24"/>
        <v>21.049854656950583</v>
      </c>
      <c r="K45">
        <f t="shared" si="24"/>
        <v>21.261240419239979</v>
      </c>
      <c r="M45">
        <f t="shared" si="24"/>
        <v>20.063327940135505</v>
      </c>
      <c r="N45">
        <f t="shared" si="24"/>
        <v>21.231620090935682</v>
      </c>
      <c r="O45">
        <f t="shared" si="24"/>
        <v>20.299687745931813</v>
      </c>
      <c r="Q45">
        <f t="shared" si="24"/>
        <v>48.404277110901717</v>
      </c>
      <c r="R45">
        <f t="shared" si="24"/>
        <v>47.583974667307999</v>
      </c>
      <c r="S45">
        <f t="shared" si="24"/>
        <v>47.678636566287039</v>
      </c>
      <c r="U45">
        <f t="shared" si="24"/>
        <v>47.41441311852703</v>
      </c>
      <c r="V45">
        <f t="shared" si="24"/>
        <v>46.063702976545237</v>
      </c>
      <c r="W45">
        <f t="shared" si="24"/>
        <v>46.63844095486234</v>
      </c>
    </row>
    <row r="46" spans="1:23">
      <c r="E46">
        <f t="shared" ref="E46:W46" si="25">E39*12500000</f>
        <v>44.57943686442843</v>
      </c>
      <c r="F46">
        <f t="shared" si="25"/>
        <v>63.006860060091995</v>
      </c>
      <c r="G46">
        <f t="shared" si="25"/>
        <v>63.144639002158797</v>
      </c>
      <c r="I46">
        <f t="shared" si="25"/>
        <v>37.40787232793047</v>
      </c>
      <c r="J46">
        <f t="shared" si="25"/>
        <v>37.602363429045297</v>
      </c>
      <c r="K46">
        <f t="shared" si="25"/>
        <v>34.370826532126429</v>
      </c>
      <c r="M46">
        <f t="shared" si="25"/>
        <v>48.656581621133441</v>
      </c>
      <c r="N46">
        <f t="shared" si="25"/>
        <v>48.764117755971121</v>
      </c>
      <c r="O46">
        <f t="shared" si="25"/>
        <v>47.883646080038865</v>
      </c>
      <c r="Q46">
        <f t="shared" si="25"/>
        <v>71.608060244423882</v>
      </c>
      <c r="R46">
        <f t="shared" si="25"/>
        <v>71.55147691425293</v>
      </c>
      <c r="S46">
        <f t="shared" si="25"/>
        <v>71.302258453340102</v>
      </c>
      <c r="U46">
        <f t="shared" si="25"/>
        <v>64.478595728595721</v>
      </c>
      <c r="V46">
        <f t="shared" si="25"/>
        <v>62.715276623037269</v>
      </c>
      <c r="W46">
        <f t="shared" si="25"/>
        <v>74.11635983064555</v>
      </c>
    </row>
    <row r="47" spans="1:23">
      <c r="E47">
        <f t="shared" ref="E47:W48" si="26">E40*12500000</f>
        <v>46.996806379306925</v>
      </c>
      <c r="F47">
        <f t="shared" si="26"/>
        <v>47.73936438201568</v>
      </c>
      <c r="G47">
        <f t="shared" si="26"/>
        <v>47.420607127849031</v>
      </c>
      <c r="I47">
        <f t="shared" si="26"/>
        <v>72.229932916955818</v>
      </c>
      <c r="J47">
        <f t="shared" si="26"/>
        <v>71.095558929588165</v>
      </c>
      <c r="K47">
        <f t="shared" si="26"/>
        <v>71.547937356760883</v>
      </c>
      <c r="M47">
        <f t="shared" si="26"/>
        <v>26.823900934951261</v>
      </c>
      <c r="N47">
        <f t="shared" si="26"/>
        <v>27.209386221014128</v>
      </c>
      <c r="O47">
        <f t="shared" si="26"/>
        <v>27.196941783345615</v>
      </c>
      <c r="Q47">
        <f t="shared" si="26"/>
        <v>30.583291555258466</v>
      </c>
      <c r="R47">
        <f t="shared" si="26"/>
        <v>30.554044820036538</v>
      </c>
      <c r="S47">
        <f t="shared" si="26"/>
        <v>30.299582074730004</v>
      </c>
      <c r="U47">
        <f t="shared" si="26"/>
        <v>32.646690869842516</v>
      </c>
      <c r="V47">
        <f t="shared" si="26"/>
        <v>33.432284576211366</v>
      </c>
      <c r="W47">
        <f t="shared" si="26"/>
        <v>32.54731010779642</v>
      </c>
    </row>
    <row r="48" spans="1:23">
      <c r="E48">
        <f>E41*12500000</f>
        <v>159.01039206424184</v>
      </c>
      <c r="F48">
        <f t="shared" si="26"/>
        <v>158.03605677023398</v>
      </c>
      <c r="G48">
        <f t="shared" si="26"/>
        <v>156.95890468935161</v>
      </c>
      <c r="I48">
        <f t="shared" si="26"/>
        <v>84.888795415111218</v>
      </c>
      <c r="J48">
        <f t="shared" si="26"/>
        <v>84.271056341705389</v>
      </c>
      <c r="K48">
        <f t="shared" si="26"/>
        <v>86.05847392127076</v>
      </c>
      <c r="M48">
        <f t="shared" si="26"/>
        <v>49.818513163443583</v>
      </c>
      <c r="N48">
        <f t="shared" si="26"/>
        <v>48.891603862458787</v>
      </c>
      <c r="O48">
        <f t="shared" si="26"/>
        <v>49.072265625000014</v>
      </c>
      <c r="Q48">
        <f t="shared" si="26"/>
        <v>106.97317341676808</v>
      </c>
      <c r="R48">
        <f t="shared" si="26"/>
        <v>83.083463700098491</v>
      </c>
      <c r="S48">
        <f t="shared" si="26"/>
        <v>75.344514894467764</v>
      </c>
      <c r="U48">
        <f t="shared" si="26"/>
        <v>121.32851678024943</v>
      </c>
      <c r="V48">
        <f t="shared" si="26"/>
        <v>134.89506152954067</v>
      </c>
      <c r="W48">
        <f t="shared" si="26"/>
        <v>139.75309417603819</v>
      </c>
    </row>
    <row r="50" spans="2:21">
      <c r="B50" t="s">
        <v>385</v>
      </c>
    </row>
    <row r="51" spans="2:21">
      <c r="E51">
        <f>AVERAGE(E45:G45)</f>
        <v>12.888550268297484</v>
      </c>
      <c r="I51">
        <f t="shared" ref="I51:U51" si="27">AVERAGE(I45:K45)</f>
        <v>21.209922891538955</v>
      </c>
      <c r="M51">
        <f t="shared" si="27"/>
        <v>20.531545259001</v>
      </c>
      <c r="Q51">
        <f t="shared" si="27"/>
        <v>47.888962781498918</v>
      </c>
      <c r="U51">
        <f t="shared" si="27"/>
        <v>46.705519016644871</v>
      </c>
    </row>
    <row r="52" spans="2:21">
      <c r="E52">
        <f t="shared" ref="E52:E54" si="28">AVERAGE(E46:G46)</f>
        <v>56.910311975559743</v>
      </c>
      <c r="I52">
        <f t="shared" ref="I52:I54" si="29">AVERAGE(I46:K46)</f>
        <v>36.460354096367396</v>
      </c>
      <c r="M52">
        <f t="shared" ref="M52:M54" si="30">AVERAGE(M46:O46)</f>
        <v>48.434781819047807</v>
      </c>
      <c r="Q52">
        <f t="shared" ref="Q52:Q54" si="31">AVERAGE(Q46:S46)</f>
        <v>71.487265204005638</v>
      </c>
      <c r="U52">
        <f t="shared" ref="U52:U54" si="32">AVERAGE(U46:W46)</f>
        <v>67.10341072742618</v>
      </c>
    </row>
    <row r="53" spans="2:21">
      <c r="E53">
        <f t="shared" si="28"/>
        <v>47.385592629723874</v>
      </c>
      <c r="I53">
        <f t="shared" si="29"/>
        <v>71.624476401101617</v>
      </c>
      <c r="M53">
        <f t="shared" si="30"/>
        <v>27.076742979770334</v>
      </c>
      <c r="Q53">
        <f t="shared" si="31"/>
        <v>30.478972816675007</v>
      </c>
      <c r="U53">
        <f t="shared" si="32"/>
        <v>32.875428517950098</v>
      </c>
    </row>
    <row r="54" spans="2:21">
      <c r="E54">
        <f t="shared" si="28"/>
        <v>158.00178450794249</v>
      </c>
      <c r="I54">
        <f t="shared" si="29"/>
        <v>85.072775226029123</v>
      </c>
      <c r="M54">
        <f t="shared" si="30"/>
        <v>49.260794216967462</v>
      </c>
      <c r="Q54">
        <f t="shared" si="31"/>
        <v>88.467050670444777</v>
      </c>
      <c r="U54">
        <f t="shared" si="32"/>
        <v>131.99222416194277</v>
      </c>
    </row>
  </sheetData>
  <mergeCells count="5">
    <mergeCell ref="E14:G14"/>
    <mergeCell ref="I14:K14"/>
    <mergeCell ref="M14:O14"/>
    <mergeCell ref="Q14:S14"/>
    <mergeCell ref="U14:W14"/>
  </mergeCells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44"/>
  <sheetViews>
    <sheetView topLeftCell="B19" zoomScale="82" zoomScaleNormal="82" workbookViewId="0">
      <selection activeCell="A2" sqref="A2"/>
    </sheetView>
  </sheetViews>
  <sheetFormatPr defaultRowHeight="15"/>
  <cols>
    <col min="1" max="1" width="17.42578125" customWidth="1"/>
    <col min="4" max="4" width="11.5703125" customWidth="1"/>
  </cols>
  <sheetData>
    <row r="2" spans="1:23">
      <c r="A2" s="1" t="s">
        <v>754</v>
      </c>
      <c r="E2" s="97" t="s">
        <v>703</v>
      </c>
      <c r="F2" s="97"/>
      <c r="G2" s="97"/>
      <c r="H2" s="97"/>
      <c r="I2" s="97"/>
      <c r="J2" s="97"/>
      <c r="K2" s="97"/>
      <c r="L2" s="97"/>
    </row>
    <row r="4" spans="1:23">
      <c r="A4" s="1" t="s">
        <v>666</v>
      </c>
    </row>
    <row r="6" spans="1:23">
      <c r="A6" t="s">
        <v>83</v>
      </c>
    </row>
    <row r="8" spans="1:23">
      <c r="A8" t="s">
        <v>672</v>
      </c>
    </row>
    <row r="10" spans="1:23">
      <c r="A10" s="1" t="s">
        <v>85</v>
      </c>
      <c r="B10" s="1" t="s">
        <v>588</v>
      </c>
    </row>
    <row r="11" spans="1:23">
      <c r="A11" t="s">
        <v>688</v>
      </c>
      <c r="B11">
        <v>0.98299999999999998</v>
      </c>
    </row>
    <row r="12" spans="1:23">
      <c r="A12" t="s">
        <v>691</v>
      </c>
      <c r="B12">
        <v>0.1</v>
      </c>
    </row>
    <row r="13" spans="1:23">
      <c r="A13" t="s">
        <v>692</v>
      </c>
      <c r="B13">
        <v>1</v>
      </c>
    </row>
    <row r="16" spans="1:23">
      <c r="B16" s="1" t="s">
        <v>427</v>
      </c>
      <c r="E16" s="169" t="s">
        <v>541</v>
      </c>
      <c r="F16" s="171"/>
      <c r="G16" s="171"/>
      <c r="I16" s="169" t="s">
        <v>542</v>
      </c>
      <c r="J16" s="169"/>
      <c r="K16" s="169"/>
      <c r="L16" s="1"/>
      <c r="M16" s="169" t="s">
        <v>543</v>
      </c>
      <c r="N16" s="169"/>
      <c r="O16" s="169"/>
      <c r="P16" s="1"/>
      <c r="Q16" s="169" t="s">
        <v>544</v>
      </c>
      <c r="R16" s="169"/>
      <c r="S16" s="169"/>
      <c r="T16" s="1"/>
      <c r="U16" s="169" t="s">
        <v>545</v>
      </c>
      <c r="V16" s="169"/>
      <c r="W16" s="169"/>
    </row>
    <row r="17" spans="1:23">
      <c r="B17" t="s">
        <v>663</v>
      </c>
      <c r="E17" s="11">
        <v>0.89339999999999997</v>
      </c>
      <c r="F17" s="11">
        <v>0.83889999999999998</v>
      </c>
      <c r="G17" s="11">
        <v>0.71650000000000003</v>
      </c>
      <c r="I17" s="11">
        <v>0.73019999999999996</v>
      </c>
      <c r="J17" s="11">
        <v>0.78779999999999994</v>
      </c>
      <c r="K17" s="11">
        <v>0.75109999999999999</v>
      </c>
      <c r="M17" s="11">
        <v>0.54600000000000004</v>
      </c>
      <c r="N17" s="11">
        <v>0.5877</v>
      </c>
      <c r="O17" s="11">
        <v>0.58120000000000005</v>
      </c>
      <c r="Q17" s="11">
        <v>0.89400000000000002</v>
      </c>
      <c r="R17" s="11">
        <v>0.82430000000000003</v>
      </c>
      <c r="S17" s="11">
        <v>0.72929999999999995</v>
      </c>
      <c r="U17" s="11">
        <v>0.63500000000000001</v>
      </c>
      <c r="V17" s="11">
        <v>0.60340000000000005</v>
      </c>
      <c r="W17" s="11">
        <v>0.623</v>
      </c>
    </row>
    <row r="18" spans="1:23">
      <c r="B18" t="s">
        <v>175</v>
      </c>
      <c r="E18" s="11">
        <v>0.4294</v>
      </c>
      <c r="F18" s="11">
        <v>0.41189999999999999</v>
      </c>
      <c r="G18" s="11">
        <v>0.53839999999999999</v>
      </c>
      <c r="I18" s="11">
        <v>0.41816300000000001</v>
      </c>
      <c r="J18" s="11">
        <v>0.31730000000000003</v>
      </c>
      <c r="K18" s="11">
        <v>0.45479999999999998</v>
      </c>
      <c r="M18" s="11">
        <v>0.62890000000000001</v>
      </c>
      <c r="N18" s="11">
        <v>0.44829999999999998</v>
      </c>
      <c r="O18" s="11">
        <v>0.58109999999999995</v>
      </c>
      <c r="Q18" s="11">
        <v>0.4703</v>
      </c>
      <c r="R18" s="11">
        <v>0.30120000000000002</v>
      </c>
      <c r="S18" s="11">
        <v>0.38840000000000002</v>
      </c>
      <c r="U18" s="11">
        <v>0.43630000000000002</v>
      </c>
      <c r="V18" s="11">
        <v>0.62480000000000002</v>
      </c>
      <c r="W18" s="11">
        <v>0.58279999999999998</v>
      </c>
    </row>
    <row r="19" spans="1:23">
      <c r="B19" s="141" t="s">
        <v>204</v>
      </c>
      <c r="E19" s="11">
        <v>0.2364</v>
      </c>
      <c r="F19" s="11">
        <v>0.51180000000000003</v>
      </c>
      <c r="G19" s="11">
        <v>0.19309999999999999</v>
      </c>
      <c r="I19" s="11">
        <v>0.47989999999999999</v>
      </c>
      <c r="J19" s="11">
        <v>0.1128</v>
      </c>
      <c r="K19" s="11">
        <v>0.39190000000000003</v>
      </c>
      <c r="M19" s="11">
        <v>0.51400000000000001</v>
      </c>
      <c r="N19" s="11">
        <v>0.23200000000000001</v>
      </c>
      <c r="O19" s="11">
        <v>0.34210000000000002</v>
      </c>
      <c r="Q19" s="11">
        <v>0.37219999999999998</v>
      </c>
      <c r="R19" s="11">
        <v>0.28120000000000001</v>
      </c>
      <c r="S19" s="11">
        <v>0.38200000000000001</v>
      </c>
      <c r="U19" s="11">
        <v>0.62350000000000005</v>
      </c>
      <c r="V19" s="11">
        <v>0.61839999999999995</v>
      </c>
      <c r="W19" s="11">
        <v>0.51229999999999998</v>
      </c>
    </row>
    <row r="20" spans="1:23">
      <c r="B20" t="s">
        <v>177</v>
      </c>
      <c r="E20" s="11">
        <v>0.31130000000000002</v>
      </c>
      <c r="F20" s="11">
        <v>0.2954</v>
      </c>
      <c r="G20" s="11">
        <v>0.1905</v>
      </c>
      <c r="I20" s="11">
        <v>0.23147300000000001</v>
      </c>
      <c r="J20" s="11">
        <v>0.44180000000000003</v>
      </c>
      <c r="K20" s="11">
        <v>0.94820000000000004</v>
      </c>
      <c r="M20" s="11">
        <v>0.43340000000000001</v>
      </c>
      <c r="N20" s="11">
        <v>0.19650000000000001</v>
      </c>
      <c r="O20" s="11">
        <v>0.16439999999999999</v>
      </c>
      <c r="Q20" s="11">
        <v>0.3352</v>
      </c>
      <c r="R20" s="11">
        <v>0.29110000000000003</v>
      </c>
      <c r="S20" s="11">
        <v>0.27010000000000001</v>
      </c>
      <c r="U20" s="11">
        <v>0.47449999999999998</v>
      </c>
      <c r="V20" s="11">
        <v>0.18379999999999999</v>
      </c>
      <c r="W20" s="11">
        <v>0.5554</v>
      </c>
    </row>
    <row r="21" spans="1:23">
      <c r="B21" t="s">
        <v>177</v>
      </c>
    </row>
    <row r="24" spans="1:23">
      <c r="A24" t="s">
        <v>689</v>
      </c>
      <c r="E24" s="11">
        <f>0.983-E17</f>
        <v>8.9600000000000013E-2</v>
      </c>
      <c r="F24" s="11">
        <f t="shared" ref="F24:W24" si="0">0.983-F17</f>
        <v>0.14410000000000001</v>
      </c>
      <c r="G24" s="11">
        <f t="shared" si="0"/>
        <v>0.26649999999999996</v>
      </c>
      <c r="H24" s="11"/>
      <c r="I24" s="11">
        <f t="shared" si="0"/>
        <v>0.25280000000000002</v>
      </c>
      <c r="J24" s="11">
        <f t="shared" si="0"/>
        <v>0.19520000000000004</v>
      </c>
      <c r="K24" s="11">
        <f t="shared" si="0"/>
        <v>0.2319</v>
      </c>
      <c r="L24" s="11"/>
      <c r="M24" s="11">
        <f t="shared" si="0"/>
        <v>0.43699999999999994</v>
      </c>
      <c r="N24" s="11">
        <f t="shared" si="0"/>
        <v>0.39529999999999998</v>
      </c>
      <c r="O24" s="11">
        <f t="shared" si="0"/>
        <v>0.40179999999999993</v>
      </c>
      <c r="P24" s="11"/>
      <c r="Q24" s="11">
        <f t="shared" si="0"/>
        <v>8.8999999999999968E-2</v>
      </c>
      <c r="R24" s="11">
        <f t="shared" si="0"/>
        <v>0.15869999999999995</v>
      </c>
      <c r="S24" s="11">
        <f t="shared" si="0"/>
        <v>0.25370000000000004</v>
      </c>
      <c r="T24" s="11"/>
      <c r="U24" s="11">
        <f t="shared" si="0"/>
        <v>0.34799999999999998</v>
      </c>
      <c r="V24" s="11">
        <f t="shared" si="0"/>
        <v>0.37959999999999994</v>
      </c>
      <c r="W24" s="11">
        <f t="shared" si="0"/>
        <v>0.36</v>
      </c>
    </row>
    <row r="25" spans="1:23">
      <c r="E25" s="11">
        <f t="shared" ref="E25:W25" si="1">0.983-E18</f>
        <v>0.55359999999999998</v>
      </c>
      <c r="F25" s="11">
        <f t="shared" si="1"/>
        <v>0.57109999999999994</v>
      </c>
      <c r="G25" s="11">
        <f t="shared" si="1"/>
        <v>0.4446</v>
      </c>
      <c r="H25" s="11"/>
      <c r="I25" s="11">
        <f t="shared" si="1"/>
        <v>0.56483700000000003</v>
      </c>
      <c r="J25" s="11">
        <f t="shared" si="1"/>
        <v>0.66569999999999996</v>
      </c>
      <c r="K25" s="11">
        <f t="shared" si="1"/>
        <v>0.5282</v>
      </c>
      <c r="L25" s="11"/>
      <c r="M25" s="11">
        <f t="shared" si="1"/>
        <v>0.35409999999999997</v>
      </c>
      <c r="N25" s="11">
        <f t="shared" si="1"/>
        <v>0.53469999999999995</v>
      </c>
      <c r="O25" s="11">
        <f t="shared" si="1"/>
        <v>0.40190000000000003</v>
      </c>
      <c r="P25" s="11"/>
      <c r="Q25" s="11">
        <f t="shared" si="1"/>
        <v>0.51269999999999993</v>
      </c>
      <c r="R25" s="11">
        <f t="shared" si="1"/>
        <v>0.68179999999999996</v>
      </c>
      <c r="S25" s="11">
        <f t="shared" si="1"/>
        <v>0.59460000000000002</v>
      </c>
      <c r="T25" s="11"/>
      <c r="U25" s="11">
        <f t="shared" si="1"/>
        <v>0.54669999999999996</v>
      </c>
      <c r="V25" s="11">
        <f t="shared" si="1"/>
        <v>0.35819999999999996</v>
      </c>
      <c r="W25" s="11">
        <f t="shared" si="1"/>
        <v>0.4002</v>
      </c>
    </row>
    <row r="26" spans="1:23">
      <c r="E26" s="11">
        <f t="shared" ref="E26:W26" si="2">0.983-E19</f>
        <v>0.74659999999999993</v>
      </c>
      <c r="F26" s="11">
        <f t="shared" si="2"/>
        <v>0.47119999999999995</v>
      </c>
      <c r="G26" s="11">
        <f t="shared" si="2"/>
        <v>0.78990000000000005</v>
      </c>
      <c r="H26" s="11"/>
      <c r="I26" s="11">
        <f t="shared" si="2"/>
        <v>0.50309999999999999</v>
      </c>
      <c r="J26" s="11">
        <f t="shared" si="2"/>
        <v>0.87019999999999997</v>
      </c>
      <c r="K26" s="11">
        <f t="shared" si="2"/>
        <v>0.59109999999999996</v>
      </c>
      <c r="L26" s="11"/>
      <c r="M26" s="11">
        <f t="shared" si="2"/>
        <v>0.46899999999999997</v>
      </c>
      <c r="N26" s="11">
        <f t="shared" si="2"/>
        <v>0.751</v>
      </c>
      <c r="O26" s="11">
        <f t="shared" si="2"/>
        <v>0.64090000000000003</v>
      </c>
      <c r="P26" s="11"/>
      <c r="Q26" s="11">
        <f t="shared" si="2"/>
        <v>0.61080000000000001</v>
      </c>
      <c r="R26" s="11">
        <f t="shared" si="2"/>
        <v>0.70179999999999998</v>
      </c>
      <c r="S26" s="11">
        <f t="shared" si="2"/>
        <v>0.60099999999999998</v>
      </c>
      <c r="T26" s="11"/>
      <c r="U26" s="11">
        <f t="shared" si="2"/>
        <v>0.35949999999999993</v>
      </c>
      <c r="V26" s="11">
        <f t="shared" si="2"/>
        <v>0.36460000000000004</v>
      </c>
      <c r="W26" s="11">
        <f t="shared" si="2"/>
        <v>0.47070000000000001</v>
      </c>
    </row>
    <row r="27" spans="1:23">
      <c r="E27" s="11">
        <f t="shared" ref="E27:W27" si="3">0.983-E20</f>
        <v>0.67169999999999996</v>
      </c>
      <c r="F27" s="11">
        <f t="shared" si="3"/>
        <v>0.68759999999999999</v>
      </c>
      <c r="G27" s="11">
        <f t="shared" si="3"/>
        <v>0.79249999999999998</v>
      </c>
      <c r="H27" s="11"/>
      <c r="I27" s="11">
        <f t="shared" si="3"/>
        <v>0.75152699999999995</v>
      </c>
      <c r="J27" s="11">
        <f t="shared" si="3"/>
        <v>0.5411999999999999</v>
      </c>
      <c r="K27" s="11">
        <f t="shared" si="3"/>
        <v>3.4799999999999942E-2</v>
      </c>
      <c r="L27" s="11"/>
      <c r="M27" s="11">
        <f t="shared" si="3"/>
        <v>0.54959999999999998</v>
      </c>
      <c r="N27" s="11">
        <f t="shared" si="3"/>
        <v>0.78649999999999998</v>
      </c>
      <c r="O27" s="11">
        <f t="shared" si="3"/>
        <v>0.81859999999999999</v>
      </c>
      <c r="P27" s="11"/>
      <c r="Q27" s="11">
        <f t="shared" si="3"/>
        <v>0.64779999999999993</v>
      </c>
      <c r="R27" s="11">
        <f t="shared" si="3"/>
        <v>0.69189999999999996</v>
      </c>
      <c r="S27" s="11">
        <f t="shared" si="3"/>
        <v>0.71289999999999998</v>
      </c>
      <c r="T27" s="11"/>
      <c r="U27" s="11">
        <f t="shared" si="3"/>
        <v>0.50849999999999995</v>
      </c>
      <c r="V27" s="11">
        <f t="shared" si="3"/>
        <v>0.79920000000000002</v>
      </c>
      <c r="W27" s="11">
        <f t="shared" si="3"/>
        <v>0.42759999999999998</v>
      </c>
    </row>
    <row r="31" spans="1:23">
      <c r="A31" s="171" t="s">
        <v>690</v>
      </c>
      <c r="B31" s="171"/>
      <c r="C31" s="171"/>
      <c r="D31" s="171"/>
      <c r="E31">
        <f>271*0.16666</f>
        <v>45.164859999999997</v>
      </c>
    </row>
    <row r="34" spans="3:23">
      <c r="E34">
        <f>E24*45.16486</f>
        <v>4.0467714560000001</v>
      </c>
      <c r="F34">
        <f t="shared" ref="F34:W34" si="4">F24*45.16486</f>
        <v>6.5082563259999997</v>
      </c>
      <c r="G34">
        <f t="shared" si="4"/>
        <v>12.036435189999997</v>
      </c>
      <c r="I34">
        <f t="shared" si="4"/>
        <v>11.417676608000001</v>
      </c>
      <c r="J34">
        <f t="shared" si="4"/>
        <v>8.8161806720000016</v>
      </c>
      <c r="K34">
        <f t="shared" si="4"/>
        <v>10.473731033999998</v>
      </c>
      <c r="M34">
        <f t="shared" si="4"/>
        <v>19.737043819999997</v>
      </c>
      <c r="N34">
        <f t="shared" si="4"/>
        <v>17.853669157999999</v>
      </c>
      <c r="O34">
        <f t="shared" si="4"/>
        <v>18.147240747999994</v>
      </c>
      <c r="Q34">
        <f t="shared" si="4"/>
        <v>4.0196725399999984</v>
      </c>
      <c r="R34">
        <f t="shared" si="4"/>
        <v>7.1676632819999977</v>
      </c>
      <c r="S34">
        <f t="shared" si="4"/>
        <v>11.458324982000001</v>
      </c>
      <c r="U34">
        <f t="shared" si="4"/>
        <v>15.717371279999998</v>
      </c>
      <c r="V34">
        <f t="shared" si="4"/>
        <v>17.144580855999997</v>
      </c>
      <c r="W34">
        <f t="shared" si="4"/>
        <v>16.2593496</v>
      </c>
    </row>
    <row r="35" spans="3:23">
      <c r="E35">
        <f t="shared" ref="E35:W35" si="5">E25*45.16486</f>
        <v>25.003266495999998</v>
      </c>
      <c r="F35">
        <f t="shared" si="5"/>
        <v>25.793651545999996</v>
      </c>
      <c r="G35">
        <f t="shared" si="5"/>
        <v>20.080296755999999</v>
      </c>
      <c r="I35">
        <f t="shared" si="5"/>
        <v>25.510784027820002</v>
      </c>
      <c r="J35">
        <f t="shared" si="5"/>
        <v>30.066247301999997</v>
      </c>
      <c r="K35">
        <f t="shared" si="5"/>
        <v>23.856079051999998</v>
      </c>
      <c r="M35">
        <f t="shared" si="5"/>
        <v>15.992876925999997</v>
      </c>
      <c r="N35">
        <f t="shared" si="5"/>
        <v>24.149650641999997</v>
      </c>
      <c r="O35">
        <f t="shared" si="5"/>
        <v>18.151757234000002</v>
      </c>
      <c r="Q35">
        <f t="shared" si="5"/>
        <v>23.156023721999997</v>
      </c>
      <c r="R35">
        <f t="shared" si="5"/>
        <v>30.793401547999995</v>
      </c>
      <c r="S35">
        <f t="shared" si="5"/>
        <v>26.855025756</v>
      </c>
      <c r="U35">
        <f t="shared" si="5"/>
        <v>24.691628961999996</v>
      </c>
      <c r="V35">
        <f t="shared" si="5"/>
        <v>16.178052851999997</v>
      </c>
      <c r="W35">
        <f t="shared" si="5"/>
        <v>18.074976971999998</v>
      </c>
    </row>
    <row r="36" spans="3:23">
      <c r="E36">
        <f t="shared" ref="E36:W36" si="6">E26*45.16486</f>
        <v>33.720084475999997</v>
      </c>
      <c r="F36">
        <f t="shared" si="6"/>
        <v>21.281682031999996</v>
      </c>
      <c r="G36">
        <f t="shared" si="6"/>
        <v>35.675722913999998</v>
      </c>
      <c r="I36">
        <f t="shared" si="6"/>
        <v>22.722441065999998</v>
      </c>
      <c r="J36">
        <f t="shared" si="6"/>
        <v>39.302461171999994</v>
      </c>
      <c r="K36">
        <f t="shared" si="6"/>
        <v>26.696948745999997</v>
      </c>
      <c r="M36">
        <f t="shared" si="6"/>
        <v>21.182319339999996</v>
      </c>
      <c r="N36">
        <f t="shared" si="6"/>
        <v>33.918809859999996</v>
      </c>
      <c r="O36">
        <f t="shared" si="6"/>
        <v>28.946158774000001</v>
      </c>
      <c r="Q36">
        <f t="shared" si="6"/>
        <v>27.586696487999998</v>
      </c>
      <c r="R36">
        <f t="shared" si="6"/>
        <v>31.696698747999996</v>
      </c>
      <c r="S36">
        <f t="shared" si="6"/>
        <v>27.144080859999999</v>
      </c>
      <c r="U36">
        <f t="shared" si="6"/>
        <v>16.236767169999997</v>
      </c>
      <c r="V36">
        <f t="shared" si="6"/>
        <v>16.467107956</v>
      </c>
      <c r="W36">
        <f t="shared" si="6"/>
        <v>21.259099601999999</v>
      </c>
    </row>
    <row r="37" spans="3:23">
      <c r="E37">
        <f t="shared" ref="E37:W37" si="7">E27*45.16486</f>
        <v>30.337236461999996</v>
      </c>
      <c r="F37">
        <f t="shared" si="7"/>
        <v>31.055357735999998</v>
      </c>
      <c r="G37">
        <f t="shared" si="7"/>
        <v>35.793151549999997</v>
      </c>
      <c r="I37">
        <f t="shared" si="7"/>
        <v>33.942611741219999</v>
      </c>
      <c r="J37">
        <f t="shared" si="7"/>
        <v>24.443222231999993</v>
      </c>
      <c r="K37">
        <f t="shared" si="7"/>
        <v>1.5717371279999972</v>
      </c>
      <c r="M37">
        <f t="shared" si="7"/>
        <v>24.822607055999999</v>
      </c>
      <c r="N37">
        <f t="shared" si="7"/>
        <v>35.522162389999998</v>
      </c>
      <c r="O37">
        <f t="shared" si="7"/>
        <v>36.971954396000001</v>
      </c>
      <c r="Q37">
        <f t="shared" si="7"/>
        <v>29.257796307999996</v>
      </c>
      <c r="R37">
        <f t="shared" si="7"/>
        <v>31.249566633999997</v>
      </c>
      <c r="S37">
        <f t="shared" si="7"/>
        <v>32.198028693999994</v>
      </c>
      <c r="U37">
        <f t="shared" si="7"/>
        <v>22.966331309999998</v>
      </c>
      <c r="V37">
        <f t="shared" si="7"/>
        <v>36.095756111999997</v>
      </c>
      <c r="W37">
        <f t="shared" si="7"/>
        <v>19.312494135999998</v>
      </c>
    </row>
    <row r="40" spans="3:23">
      <c r="C40" t="s">
        <v>171</v>
      </c>
      <c r="E40">
        <f>AVERAGE(E34:G34)</f>
        <v>7.5304876573333317</v>
      </c>
      <c r="I40">
        <f t="shared" ref="I40:U40" si="8">AVERAGE(I34:K34)</f>
        <v>10.235862771333332</v>
      </c>
      <c r="M40">
        <f t="shared" si="8"/>
        <v>18.579317908666663</v>
      </c>
      <c r="Q40">
        <f t="shared" si="8"/>
        <v>7.5485536013333316</v>
      </c>
      <c r="U40">
        <f t="shared" si="8"/>
        <v>16.373767245333333</v>
      </c>
    </row>
    <row r="41" spans="3:23">
      <c r="E41">
        <f t="shared" ref="E41:E43" si="9">AVERAGE(E35:G35)</f>
        <v>23.625738265999999</v>
      </c>
      <c r="I41">
        <f t="shared" ref="I41:I43" si="10">AVERAGE(I35:K35)</f>
        <v>26.477703460606666</v>
      </c>
      <c r="M41">
        <f t="shared" ref="M41:M43" si="11">AVERAGE(M35:O35)</f>
        <v>19.431428267333331</v>
      </c>
      <c r="Q41">
        <f t="shared" ref="Q41:Q43" si="12">AVERAGE(Q35:S35)</f>
        <v>26.934817008666666</v>
      </c>
      <c r="U41">
        <f t="shared" ref="U41:U43" si="13">AVERAGE(U35:W35)</f>
        <v>19.64821959533333</v>
      </c>
    </row>
    <row r="42" spans="3:23">
      <c r="E42">
        <f t="shared" si="9"/>
        <v>30.225829807333326</v>
      </c>
      <c r="I42">
        <f t="shared" si="10"/>
        <v>29.573950327999995</v>
      </c>
      <c r="M42">
        <f t="shared" si="11"/>
        <v>28.015762657999996</v>
      </c>
      <c r="Q42">
        <f t="shared" si="12"/>
        <v>28.809158698666664</v>
      </c>
      <c r="U42">
        <f t="shared" si="13"/>
        <v>17.987658242666665</v>
      </c>
    </row>
    <row r="43" spans="3:23">
      <c r="E43">
        <f t="shared" si="9"/>
        <v>32.39524858266666</v>
      </c>
      <c r="I43">
        <f t="shared" si="10"/>
        <v>19.985857033739993</v>
      </c>
      <c r="M43">
        <f t="shared" si="11"/>
        <v>32.438907947333334</v>
      </c>
      <c r="Q43">
        <f t="shared" si="12"/>
        <v>30.901797211999995</v>
      </c>
      <c r="U43">
        <f t="shared" si="13"/>
        <v>26.124860519333328</v>
      </c>
    </row>
    <row r="44" spans="3:23">
      <c r="E44" s="11"/>
      <c r="F44" s="11"/>
      <c r="G44" s="11"/>
      <c r="I44" s="11"/>
      <c r="J44" s="11"/>
      <c r="K44" s="11"/>
      <c r="M44" s="11"/>
      <c r="N44" s="11"/>
      <c r="O44" s="11"/>
      <c r="Q44" s="11"/>
      <c r="R44" s="11"/>
      <c r="S44" s="11"/>
      <c r="U44" s="11"/>
      <c r="V44" s="11"/>
      <c r="W44" s="11"/>
    </row>
  </sheetData>
  <mergeCells count="6">
    <mergeCell ref="U16:W16"/>
    <mergeCell ref="A31:D31"/>
    <mergeCell ref="E16:G16"/>
    <mergeCell ref="I16:K16"/>
    <mergeCell ref="M16:O16"/>
    <mergeCell ref="Q16:S16"/>
  </mergeCells>
  <pageMargins left="0.7" right="0.7" top="0.75" bottom="0.75" header="0.3" footer="0.3"/>
  <pageSetup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42"/>
  <sheetViews>
    <sheetView topLeftCell="E1" workbookViewId="0">
      <selection activeCell="A2" sqref="A2"/>
    </sheetView>
  </sheetViews>
  <sheetFormatPr defaultRowHeight="15"/>
  <cols>
    <col min="1" max="1" width="17.85546875" customWidth="1"/>
    <col min="2" max="2" width="14.28515625" customWidth="1"/>
    <col min="4" max="4" width="15.42578125" customWidth="1"/>
  </cols>
  <sheetData>
    <row r="2" spans="1:23">
      <c r="A2" s="1" t="s">
        <v>755</v>
      </c>
      <c r="F2" s="169" t="s">
        <v>721</v>
      </c>
      <c r="G2" s="169"/>
      <c r="H2" s="169"/>
      <c r="I2" s="169"/>
      <c r="J2" s="169"/>
      <c r="K2" s="169"/>
      <c r="L2" s="169"/>
    </row>
    <row r="4" spans="1:23">
      <c r="A4" s="1" t="s">
        <v>668</v>
      </c>
    </row>
    <row r="6" spans="1:23">
      <c r="A6" t="s">
        <v>83</v>
      </c>
    </row>
    <row r="8" spans="1:23">
      <c r="A8" t="s">
        <v>670</v>
      </c>
    </row>
    <row r="10" spans="1:23">
      <c r="A10" s="1" t="s">
        <v>85</v>
      </c>
      <c r="B10" s="1" t="s">
        <v>588</v>
      </c>
    </row>
    <row r="11" spans="1:23">
      <c r="A11" t="s">
        <v>680</v>
      </c>
      <c r="B11">
        <v>2.1000000000000001E-2</v>
      </c>
    </row>
    <row r="12" spans="1:23">
      <c r="A12" t="s">
        <v>691</v>
      </c>
      <c r="B12">
        <v>0.2</v>
      </c>
    </row>
    <row r="15" spans="1:23">
      <c r="B15" s="1" t="s">
        <v>427</v>
      </c>
      <c r="E15" s="169" t="s">
        <v>541</v>
      </c>
      <c r="F15" s="171"/>
      <c r="G15" s="171"/>
      <c r="I15" s="169" t="s">
        <v>542</v>
      </c>
      <c r="J15" s="169"/>
      <c r="K15" s="169"/>
      <c r="L15" s="1"/>
      <c r="M15" s="169" t="s">
        <v>543</v>
      </c>
      <c r="N15" s="169"/>
      <c r="O15" s="169"/>
      <c r="P15" s="1"/>
      <c r="Q15" s="169" t="s">
        <v>544</v>
      </c>
      <c r="R15" s="169"/>
      <c r="S15" s="169"/>
      <c r="T15" s="1"/>
      <c r="U15" s="169" t="s">
        <v>545</v>
      </c>
      <c r="V15" s="169"/>
      <c r="W15" s="169"/>
    </row>
    <row r="16" spans="1:23">
      <c r="B16" t="s">
        <v>663</v>
      </c>
      <c r="E16" s="142">
        <v>8.3199999999999996E-2</v>
      </c>
      <c r="F16" s="142">
        <v>7.9600000000000004E-2</v>
      </c>
      <c r="G16" s="142">
        <v>7.8600000000000003E-2</v>
      </c>
      <c r="I16">
        <v>4.8363999999999997E-2</v>
      </c>
      <c r="J16">
        <v>7.1837999999999999E-2</v>
      </c>
      <c r="K16">
        <v>6.2819E-2</v>
      </c>
      <c r="M16">
        <v>5.9200000000000003E-2</v>
      </c>
      <c r="N16">
        <v>4.5959E-2</v>
      </c>
      <c r="O16">
        <v>7.9649999999999999E-2</v>
      </c>
      <c r="Q16">
        <v>3.4529999999999998E-2</v>
      </c>
      <c r="R16">
        <v>8.8700000000000001E-2</v>
      </c>
      <c r="S16">
        <v>4.3400000000000001E-2</v>
      </c>
      <c r="U16">
        <v>3.7400000000000003E-2</v>
      </c>
      <c r="V16">
        <v>7.4200000000000002E-2</v>
      </c>
      <c r="W16">
        <v>4.2700000000000002E-2</v>
      </c>
    </row>
    <row r="17" spans="2:23">
      <c r="B17" t="s">
        <v>175</v>
      </c>
      <c r="E17" s="142">
        <v>0.31803672566371699</v>
      </c>
      <c r="F17" s="142">
        <v>0.417283672566371</v>
      </c>
      <c r="G17" s="142">
        <v>0.55184367256637101</v>
      </c>
      <c r="I17">
        <v>0.37824000000000002</v>
      </c>
      <c r="J17">
        <v>0.4824</v>
      </c>
      <c r="K17">
        <v>0.58240000000000003</v>
      </c>
      <c r="M17">
        <v>0.31309999999999999</v>
      </c>
      <c r="N17">
        <v>0.53849999999999998</v>
      </c>
      <c r="O17">
        <v>0.4345</v>
      </c>
      <c r="Q17">
        <v>0.55484999999999995</v>
      </c>
      <c r="R17">
        <v>0.3992</v>
      </c>
      <c r="S17">
        <v>0.42449999999999999</v>
      </c>
      <c r="U17">
        <v>0.38190000000000002</v>
      </c>
      <c r="V17">
        <v>0.53154999999999997</v>
      </c>
      <c r="W17">
        <v>0.42209999999999998</v>
      </c>
    </row>
    <row r="18" spans="2:23">
      <c r="B18" s="141" t="s">
        <v>204</v>
      </c>
      <c r="E18" s="142">
        <v>0.31703672566371699</v>
      </c>
      <c r="F18" s="142">
        <v>0.31253672566371699</v>
      </c>
      <c r="G18" s="142">
        <v>0.24853672566371701</v>
      </c>
      <c r="I18">
        <v>0.41639999999999999</v>
      </c>
      <c r="J18">
        <v>0.32729999999999998</v>
      </c>
      <c r="K18">
        <v>0.39629999999999999</v>
      </c>
      <c r="M18">
        <v>0.63529999999999998</v>
      </c>
      <c r="N18">
        <v>0.51910000000000001</v>
      </c>
      <c r="O18">
        <v>0.48209999999999997</v>
      </c>
      <c r="Q18">
        <v>0.61639999999999995</v>
      </c>
      <c r="R18">
        <v>0.43240000000000001</v>
      </c>
      <c r="S18">
        <v>0.71289999999999998</v>
      </c>
      <c r="U18">
        <v>0.3453</v>
      </c>
      <c r="V18">
        <v>0.58120000000000005</v>
      </c>
      <c r="W18">
        <v>0.28320000000000001</v>
      </c>
    </row>
    <row r="19" spans="2:23">
      <c r="B19" t="s">
        <v>177</v>
      </c>
      <c r="E19" s="142">
        <v>1.2443</v>
      </c>
      <c r="F19" s="142">
        <v>1.3352200000000001</v>
      </c>
      <c r="G19" s="142">
        <v>1.1587000000000001</v>
      </c>
      <c r="I19" s="11">
        <v>1.57162</v>
      </c>
      <c r="J19" s="11">
        <v>1.7112000000000001</v>
      </c>
      <c r="K19" s="11">
        <v>1.6724000000000001</v>
      </c>
      <c r="M19" s="11">
        <v>0.78339999999999999</v>
      </c>
      <c r="N19" s="11">
        <v>0.84109999999999996</v>
      </c>
      <c r="O19" s="11">
        <v>0.89539999999999997</v>
      </c>
      <c r="Q19" s="11">
        <v>0.74939999999999996</v>
      </c>
      <c r="R19" s="11">
        <v>0.98319999999999996</v>
      </c>
      <c r="S19" s="11">
        <v>1.6813</v>
      </c>
      <c r="U19" s="11">
        <v>1.0194000000000001</v>
      </c>
      <c r="V19" s="11">
        <v>1.5394000000000001</v>
      </c>
      <c r="W19" s="11">
        <v>1.7132000000000001</v>
      </c>
    </row>
    <row r="23" spans="2:23">
      <c r="B23" t="s">
        <v>693</v>
      </c>
      <c r="E23" s="142">
        <f>E16-0.021</f>
        <v>6.2199999999999991E-2</v>
      </c>
      <c r="F23" s="142">
        <f t="shared" ref="F23:W23" si="0">F16-0.021</f>
        <v>5.8599999999999999E-2</v>
      </c>
      <c r="G23" s="142">
        <f t="shared" si="0"/>
        <v>5.7599999999999998E-2</v>
      </c>
      <c r="H23" s="142"/>
      <c r="I23" s="142">
        <f t="shared" si="0"/>
        <v>2.7363999999999996E-2</v>
      </c>
      <c r="J23" s="142">
        <f t="shared" si="0"/>
        <v>5.0837999999999994E-2</v>
      </c>
      <c r="K23" s="142">
        <f t="shared" si="0"/>
        <v>4.1818999999999995E-2</v>
      </c>
      <c r="L23" s="142"/>
      <c r="M23" s="142">
        <f t="shared" si="0"/>
        <v>3.8199999999999998E-2</v>
      </c>
      <c r="N23" s="142">
        <f t="shared" si="0"/>
        <v>2.4958999999999999E-2</v>
      </c>
      <c r="O23" s="142">
        <f t="shared" si="0"/>
        <v>5.8649999999999994E-2</v>
      </c>
      <c r="P23" s="142"/>
      <c r="Q23" s="142">
        <f t="shared" si="0"/>
        <v>1.3529999999999997E-2</v>
      </c>
      <c r="R23" s="142">
        <f t="shared" si="0"/>
        <v>6.7699999999999996E-2</v>
      </c>
      <c r="S23" s="142">
        <f t="shared" si="0"/>
        <v>2.24E-2</v>
      </c>
      <c r="T23" s="142"/>
      <c r="U23" s="142">
        <f t="shared" si="0"/>
        <v>1.6400000000000001E-2</v>
      </c>
      <c r="V23" s="142">
        <f t="shared" si="0"/>
        <v>5.3199999999999997E-2</v>
      </c>
      <c r="W23" s="142">
        <f t="shared" si="0"/>
        <v>2.1700000000000001E-2</v>
      </c>
    </row>
    <row r="24" spans="2:23">
      <c r="E24" s="142">
        <f>E17-0.021</f>
        <v>0.29703672566371697</v>
      </c>
      <c r="F24" s="142">
        <f t="shared" ref="F24:G26" si="1">F17-0.021</f>
        <v>0.39628367256637098</v>
      </c>
      <c r="G24" s="142">
        <f t="shared" si="1"/>
        <v>0.53084367256637099</v>
      </c>
      <c r="H24" s="142"/>
      <c r="I24" s="142">
        <f t="shared" ref="I24:K26" si="2">I17-0.021</f>
        <v>0.35724</v>
      </c>
      <c r="J24" s="142">
        <f t="shared" si="2"/>
        <v>0.46139999999999998</v>
      </c>
      <c r="K24" s="142">
        <f t="shared" si="2"/>
        <v>0.56140000000000001</v>
      </c>
      <c r="L24" s="142"/>
      <c r="M24" s="142">
        <f t="shared" ref="M24:O26" si="3">M17-0.021</f>
        <v>0.29209999999999997</v>
      </c>
      <c r="N24" s="142">
        <f t="shared" si="3"/>
        <v>0.51749999999999996</v>
      </c>
      <c r="O24" s="142">
        <f t="shared" si="3"/>
        <v>0.41349999999999998</v>
      </c>
      <c r="P24" s="142"/>
      <c r="Q24" s="142">
        <f t="shared" ref="Q24:S26" si="4">Q17-0.021</f>
        <v>0.53384999999999994</v>
      </c>
      <c r="R24" s="142">
        <f t="shared" si="4"/>
        <v>0.37819999999999998</v>
      </c>
      <c r="S24" s="142">
        <f t="shared" si="4"/>
        <v>0.40349999999999997</v>
      </c>
      <c r="T24" s="142"/>
      <c r="U24" s="142">
        <f t="shared" ref="U24:W26" si="5">U17-0.021</f>
        <v>0.3609</v>
      </c>
      <c r="V24" s="142">
        <f t="shared" si="5"/>
        <v>0.51054999999999995</v>
      </c>
      <c r="W24" s="142">
        <f t="shared" si="5"/>
        <v>0.40109999999999996</v>
      </c>
    </row>
    <row r="25" spans="2:23">
      <c r="E25" s="142">
        <f>E18-0.021</f>
        <v>0.29603672566371697</v>
      </c>
      <c r="F25" s="142">
        <f t="shared" si="1"/>
        <v>0.29153672566371697</v>
      </c>
      <c r="G25" s="142">
        <f t="shared" si="1"/>
        <v>0.22753672566371702</v>
      </c>
      <c r="H25" s="142"/>
      <c r="I25" s="142">
        <f t="shared" si="2"/>
        <v>0.39539999999999997</v>
      </c>
      <c r="J25" s="142">
        <f t="shared" si="2"/>
        <v>0.30629999999999996</v>
      </c>
      <c r="K25" s="142">
        <f t="shared" si="2"/>
        <v>0.37529999999999997</v>
      </c>
      <c r="L25" s="142"/>
      <c r="M25" s="142">
        <f t="shared" si="3"/>
        <v>0.61429999999999996</v>
      </c>
      <c r="N25" s="142">
        <f t="shared" si="3"/>
        <v>0.49809999999999999</v>
      </c>
      <c r="O25" s="142">
        <f t="shared" si="3"/>
        <v>0.46109999999999995</v>
      </c>
      <c r="P25" s="142"/>
      <c r="Q25" s="142">
        <f t="shared" si="4"/>
        <v>0.59539999999999993</v>
      </c>
      <c r="R25" s="142">
        <f t="shared" si="4"/>
        <v>0.41139999999999999</v>
      </c>
      <c r="S25" s="142">
        <f t="shared" si="4"/>
        <v>0.69189999999999996</v>
      </c>
      <c r="T25" s="142"/>
      <c r="U25" s="142">
        <f t="shared" si="5"/>
        <v>0.32429999999999998</v>
      </c>
      <c r="V25" s="142">
        <f t="shared" si="5"/>
        <v>0.56020000000000003</v>
      </c>
      <c r="W25" s="142">
        <f t="shared" si="5"/>
        <v>0.26219999999999999</v>
      </c>
    </row>
    <row r="26" spans="2:23">
      <c r="E26" s="142">
        <f>E19-0.021</f>
        <v>1.2233000000000001</v>
      </c>
      <c r="F26" s="142">
        <f t="shared" si="1"/>
        <v>1.3142200000000002</v>
      </c>
      <c r="G26" s="142">
        <f t="shared" si="1"/>
        <v>1.1377000000000002</v>
      </c>
      <c r="H26" s="142"/>
      <c r="I26" s="142">
        <f t="shared" si="2"/>
        <v>1.5506200000000001</v>
      </c>
      <c r="J26" s="142">
        <f t="shared" si="2"/>
        <v>1.6902000000000001</v>
      </c>
      <c r="K26" s="142">
        <f t="shared" si="2"/>
        <v>1.6514000000000002</v>
      </c>
      <c r="L26" s="142"/>
      <c r="M26" s="142">
        <f t="shared" si="3"/>
        <v>0.76239999999999997</v>
      </c>
      <c r="N26" s="142">
        <f t="shared" si="3"/>
        <v>0.82009999999999994</v>
      </c>
      <c r="O26" s="142">
        <f t="shared" si="3"/>
        <v>0.87439999999999996</v>
      </c>
      <c r="P26" s="142"/>
      <c r="Q26" s="142">
        <f t="shared" si="4"/>
        <v>0.72839999999999994</v>
      </c>
      <c r="R26" s="142">
        <f t="shared" si="4"/>
        <v>0.96219999999999994</v>
      </c>
      <c r="S26" s="142">
        <f t="shared" si="4"/>
        <v>1.6603000000000001</v>
      </c>
      <c r="T26" s="142"/>
      <c r="U26" s="142">
        <f t="shared" si="5"/>
        <v>0.99840000000000007</v>
      </c>
      <c r="V26" s="142">
        <f t="shared" si="5"/>
        <v>1.5184000000000002</v>
      </c>
      <c r="W26" s="142">
        <f t="shared" si="5"/>
        <v>1.6922000000000001</v>
      </c>
    </row>
    <row r="27" spans="2:23">
      <c r="E27" s="142"/>
    </row>
    <row r="29" spans="2:23">
      <c r="B29" t="s">
        <v>720</v>
      </c>
      <c r="E29">
        <f>11.3*0.2</f>
        <v>2.2600000000000002</v>
      </c>
    </row>
    <row r="32" spans="2:23">
      <c r="B32" t="s">
        <v>694</v>
      </c>
      <c r="E32">
        <f>E23/2.26</f>
        <v>2.752212389380531E-2</v>
      </c>
      <c r="F32">
        <f t="shared" ref="F32:W32" si="6">F23/2.26</f>
        <v>2.5929203539823011E-2</v>
      </c>
      <c r="G32">
        <f t="shared" si="6"/>
        <v>2.5486725663716816E-2</v>
      </c>
      <c r="I32">
        <f t="shared" si="6"/>
        <v>1.2107964601769911E-2</v>
      </c>
      <c r="J32">
        <f t="shared" si="6"/>
        <v>2.2494690265486724E-2</v>
      </c>
      <c r="K32">
        <f t="shared" si="6"/>
        <v>1.8503982300884955E-2</v>
      </c>
      <c r="M32">
        <f t="shared" si="6"/>
        <v>1.6902654867256638E-2</v>
      </c>
      <c r="N32">
        <f t="shared" si="6"/>
        <v>1.1043805309734514E-2</v>
      </c>
      <c r="O32">
        <f t="shared" si="6"/>
        <v>2.5951327433628317E-2</v>
      </c>
      <c r="Q32">
        <f t="shared" si="6"/>
        <v>5.9867256637168133E-3</v>
      </c>
      <c r="R32">
        <f t="shared" si="6"/>
        <v>2.9955752212389383E-2</v>
      </c>
      <c r="S32">
        <f t="shared" si="6"/>
        <v>9.9115044247787623E-3</v>
      </c>
      <c r="U32">
        <f t="shared" si="6"/>
        <v>7.2566371681415942E-3</v>
      </c>
      <c r="V32">
        <f t="shared" si="6"/>
        <v>2.3539823008849558E-2</v>
      </c>
      <c r="W32">
        <f t="shared" si="6"/>
        <v>9.6017699115044253E-3</v>
      </c>
    </row>
    <row r="33" spans="3:23">
      <c r="E33">
        <f t="shared" ref="E33:W33" si="7">E24/2.26</f>
        <v>0.13143217949721991</v>
      </c>
      <c r="F33">
        <f t="shared" si="7"/>
        <v>0.17534675777273054</v>
      </c>
      <c r="G33">
        <f t="shared" si="7"/>
        <v>0.23488658078158012</v>
      </c>
      <c r="I33">
        <f t="shared" si="7"/>
        <v>0.15807079646017699</v>
      </c>
      <c r="J33">
        <f t="shared" si="7"/>
        <v>0.20415929203539823</v>
      </c>
      <c r="K33">
        <f t="shared" si="7"/>
        <v>0.24840707964601771</v>
      </c>
      <c r="M33">
        <f t="shared" si="7"/>
        <v>0.12924778761061947</v>
      </c>
      <c r="N33">
        <f t="shared" si="7"/>
        <v>0.22898230088495575</v>
      </c>
      <c r="O33">
        <f t="shared" si="7"/>
        <v>0.1829646017699115</v>
      </c>
      <c r="Q33">
        <f t="shared" si="7"/>
        <v>0.23621681415929202</v>
      </c>
      <c r="R33">
        <f t="shared" si="7"/>
        <v>0.16734513274336285</v>
      </c>
      <c r="S33">
        <f t="shared" si="7"/>
        <v>0.17853982300884957</v>
      </c>
      <c r="U33">
        <f t="shared" si="7"/>
        <v>0.15969026548672569</v>
      </c>
      <c r="V33">
        <f t="shared" si="7"/>
        <v>0.22590707964601769</v>
      </c>
      <c r="W33">
        <f t="shared" si="7"/>
        <v>0.1774778761061947</v>
      </c>
    </row>
    <row r="34" spans="3:23">
      <c r="E34">
        <f t="shared" ref="E34:W34" si="8">E25/2.26</f>
        <v>0.13098970162111373</v>
      </c>
      <c r="F34">
        <f t="shared" si="8"/>
        <v>0.12899855117863585</v>
      </c>
      <c r="G34">
        <f t="shared" si="8"/>
        <v>0.1006799671078394</v>
      </c>
      <c r="I34">
        <f t="shared" si="8"/>
        <v>0.17495575221238938</v>
      </c>
      <c r="J34">
        <f t="shared" si="8"/>
        <v>0.13553097345132742</v>
      </c>
      <c r="K34">
        <f t="shared" si="8"/>
        <v>0.16606194690265486</v>
      </c>
      <c r="M34">
        <f t="shared" si="8"/>
        <v>0.2718141592920354</v>
      </c>
      <c r="N34">
        <f t="shared" si="8"/>
        <v>0.2203982300884956</v>
      </c>
      <c r="O34">
        <f t="shared" si="8"/>
        <v>0.20402654867256637</v>
      </c>
      <c r="Q34">
        <f t="shared" si="8"/>
        <v>0.26345132743362831</v>
      </c>
      <c r="R34">
        <f t="shared" si="8"/>
        <v>0.18203539823008852</v>
      </c>
      <c r="S34">
        <f t="shared" si="8"/>
        <v>0.30615044247787609</v>
      </c>
      <c r="U34">
        <f t="shared" si="8"/>
        <v>0.14349557522123893</v>
      </c>
      <c r="V34">
        <f t="shared" si="8"/>
        <v>0.2478761061946903</v>
      </c>
      <c r="W34">
        <f t="shared" si="8"/>
        <v>0.11601769911504425</v>
      </c>
    </row>
    <row r="35" spans="3:23">
      <c r="E35">
        <f t="shared" ref="E35:W35" si="9">E26/2.26</f>
        <v>0.541283185840708</v>
      </c>
      <c r="F35">
        <f t="shared" si="9"/>
        <v>0.5815132743362833</v>
      </c>
      <c r="G35">
        <f t="shared" si="9"/>
        <v>0.50340707964601783</v>
      </c>
      <c r="I35">
        <f t="shared" si="9"/>
        <v>0.68611504424778769</v>
      </c>
      <c r="J35">
        <f t="shared" si="9"/>
        <v>0.74787610619469036</v>
      </c>
      <c r="K35">
        <f t="shared" si="9"/>
        <v>0.73070796460177012</v>
      </c>
      <c r="M35">
        <f t="shared" si="9"/>
        <v>0.33734513274336286</v>
      </c>
      <c r="N35">
        <f t="shared" si="9"/>
        <v>0.3628761061946903</v>
      </c>
      <c r="O35">
        <f t="shared" si="9"/>
        <v>0.38690265486725667</v>
      </c>
      <c r="Q35">
        <f t="shared" si="9"/>
        <v>0.32230088495575221</v>
      </c>
      <c r="R35">
        <f t="shared" si="9"/>
        <v>0.42575221238938055</v>
      </c>
      <c r="S35">
        <f t="shared" si="9"/>
        <v>0.73464601769911519</v>
      </c>
      <c r="U35">
        <f t="shared" si="9"/>
        <v>0.44176991150442485</v>
      </c>
      <c r="V35">
        <f t="shared" si="9"/>
        <v>0.67185840707964617</v>
      </c>
      <c r="W35">
        <f t="shared" si="9"/>
        <v>0.74876106194690284</v>
      </c>
    </row>
    <row r="39" spans="3:23">
      <c r="C39" t="s">
        <v>385</v>
      </c>
      <c r="E39">
        <f>AVERAGE(E32:G32)</f>
        <v>2.6312684365781713E-2</v>
      </c>
      <c r="I39">
        <f t="shared" ref="I39:U39" si="10">AVERAGE(I32:K32)</f>
        <v>1.7702212389380533E-2</v>
      </c>
      <c r="M39">
        <f t="shared" si="10"/>
        <v>1.7965929203539822E-2</v>
      </c>
      <c r="Q39">
        <f t="shared" si="10"/>
        <v>1.5284660766961652E-2</v>
      </c>
      <c r="U39">
        <f t="shared" si="10"/>
        <v>1.3466076696165194E-2</v>
      </c>
    </row>
    <row r="40" spans="3:23">
      <c r="E40">
        <f t="shared" ref="E40:E42" si="11">AVERAGE(E33:G33)</f>
        <v>0.1805551726838435</v>
      </c>
      <c r="I40">
        <f t="shared" ref="I40:I42" si="12">AVERAGE(I33:K33)</f>
        <v>0.20354572271386431</v>
      </c>
      <c r="M40">
        <f t="shared" ref="M40:M42" si="13">AVERAGE(M33:O33)</f>
        <v>0.18039823008849556</v>
      </c>
      <c r="Q40">
        <f t="shared" ref="Q40:Q42" si="14">AVERAGE(Q33:S33)</f>
        <v>0.19403392330383484</v>
      </c>
      <c r="U40">
        <f t="shared" ref="U40:U42" si="15">AVERAGE(U33:W33)</f>
        <v>0.18769174041297934</v>
      </c>
    </row>
    <row r="41" spans="3:23">
      <c r="E41">
        <f t="shared" si="11"/>
        <v>0.12022273996919632</v>
      </c>
      <c r="I41">
        <f t="shared" si="12"/>
        <v>0.1588495575221239</v>
      </c>
      <c r="M41">
        <f t="shared" si="13"/>
        <v>0.23207964601769912</v>
      </c>
      <c r="Q41">
        <f t="shared" si="14"/>
        <v>0.25054572271386433</v>
      </c>
      <c r="U41">
        <f t="shared" si="15"/>
        <v>0.16912979351032451</v>
      </c>
    </row>
    <row r="42" spans="3:23">
      <c r="E42">
        <f t="shared" si="11"/>
        <v>0.54206784660766971</v>
      </c>
      <c r="I42">
        <f t="shared" si="12"/>
        <v>0.72156637168141602</v>
      </c>
      <c r="M42">
        <f t="shared" si="13"/>
        <v>0.36237463126843661</v>
      </c>
      <c r="Q42">
        <f t="shared" si="14"/>
        <v>0.49423303834808263</v>
      </c>
      <c r="U42">
        <f t="shared" si="15"/>
        <v>0.62079646017699119</v>
      </c>
    </row>
  </sheetData>
  <mergeCells count="6">
    <mergeCell ref="U15:W15"/>
    <mergeCell ref="F2:L2"/>
    <mergeCell ref="E15:G15"/>
    <mergeCell ref="I15:K15"/>
    <mergeCell ref="M15:O15"/>
    <mergeCell ref="Q15:S15"/>
  </mergeCells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D54"/>
  <sheetViews>
    <sheetView topLeftCell="A34" workbookViewId="0">
      <selection activeCell="D6" sqref="D6"/>
    </sheetView>
  </sheetViews>
  <sheetFormatPr defaultRowHeight="15"/>
  <cols>
    <col min="1" max="1" width="16.140625" customWidth="1"/>
  </cols>
  <sheetData>
    <row r="2" spans="1:16384">
      <c r="A2" s="1" t="s">
        <v>756</v>
      </c>
      <c r="F2" s="1" t="s">
        <v>700</v>
      </c>
      <c r="G2" s="1"/>
      <c r="H2" s="1"/>
      <c r="I2" s="1"/>
      <c r="J2" s="1"/>
      <c r="K2" s="1"/>
      <c r="L2" s="1"/>
      <c r="M2" s="1"/>
      <c r="N2" s="1"/>
      <c r="O2" s="1"/>
      <c r="P2" s="1"/>
    </row>
    <row r="4" spans="1:16384">
      <c r="A4" s="1" t="s">
        <v>669</v>
      </c>
    </row>
    <row r="6" spans="1:16384">
      <c r="A6" t="s">
        <v>83</v>
      </c>
    </row>
    <row r="8" spans="1:16384">
      <c r="A8" t="s">
        <v>671</v>
      </c>
    </row>
    <row r="9" spans="1:1638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  <c r="XFC9" s="1"/>
      <c r="XFD9" s="1"/>
    </row>
    <row r="10" spans="1:16384">
      <c r="A10" s="1" t="s">
        <v>85</v>
      </c>
      <c r="B10" s="1" t="s">
        <v>588</v>
      </c>
    </row>
    <row r="11" spans="1:16384">
      <c r="A11" s="35" t="s">
        <v>673</v>
      </c>
      <c r="B11" s="1">
        <v>4.0000000000000001E-3</v>
      </c>
    </row>
    <row r="12" spans="1:16384">
      <c r="A12" t="s">
        <v>688</v>
      </c>
      <c r="B12">
        <v>5.0000000000000001E-3</v>
      </c>
    </row>
    <row r="13" spans="1:16384">
      <c r="A13" t="s">
        <v>695</v>
      </c>
      <c r="B13">
        <v>6.6000000000000003E-2</v>
      </c>
    </row>
    <row r="14" spans="1:16384">
      <c r="A14" t="s">
        <v>692</v>
      </c>
      <c r="B14">
        <v>1</v>
      </c>
    </row>
    <row r="15" spans="1:16384">
      <c r="A15" t="s">
        <v>697</v>
      </c>
      <c r="B15">
        <v>10</v>
      </c>
    </row>
    <row r="17" spans="1:23">
      <c r="B17" s="1" t="s">
        <v>427</v>
      </c>
      <c r="E17" s="169" t="s">
        <v>541</v>
      </c>
      <c r="F17" s="171"/>
      <c r="G17" s="171"/>
      <c r="I17" s="169" t="s">
        <v>542</v>
      </c>
      <c r="J17" s="169"/>
      <c r="K17" s="169"/>
      <c r="L17" s="1"/>
      <c r="M17" s="169" t="s">
        <v>543</v>
      </c>
      <c r="N17" s="169"/>
      <c r="O17" s="169"/>
      <c r="P17" s="1"/>
      <c r="Q17" s="169" t="s">
        <v>544</v>
      </c>
      <c r="R17" s="169"/>
      <c r="S17" s="169"/>
      <c r="T17" s="1"/>
      <c r="U17" s="169" t="s">
        <v>545</v>
      </c>
      <c r="V17" s="169"/>
      <c r="W17" s="169"/>
    </row>
    <row r="18" spans="1:23">
      <c r="B18" t="s">
        <v>663</v>
      </c>
      <c r="E18" s="142">
        <v>1.4705802469136</v>
      </c>
      <c r="F18" s="142">
        <v>1.5349999999999999</v>
      </c>
      <c r="G18" s="142">
        <v>1.833</v>
      </c>
      <c r="I18" s="142">
        <v>0.47570000000000001</v>
      </c>
      <c r="J18" s="142">
        <v>0.4738</v>
      </c>
      <c r="K18" s="142">
        <v>0.47920000000000001</v>
      </c>
      <c r="M18">
        <v>0.83430000000000004</v>
      </c>
      <c r="N18">
        <v>0.83679999999999999</v>
      </c>
      <c r="O18">
        <v>0.83950000000000002</v>
      </c>
      <c r="Q18">
        <v>0.94854000000000005</v>
      </c>
      <c r="R18">
        <v>0.94864000000000004</v>
      </c>
      <c r="S18">
        <v>0.94896000000000003</v>
      </c>
      <c r="U18" s="142">
        <v>1.6738</v>
      </c>
      <c r="V18" s="142">
        <v>1.6584000000000001</v>
      </c>
      <c r="W18" s="142">
        <v>1.6754</v>
      </c>
    </row>
    <row r="19" spans="1:23">
      <c r="B19" t="s">
        <v>175</v>
      </c>
      <c r="D19" s="142"/>
      <c r="E19" s="142">
        <v>1.813296296296</v>
      </c>
      <c r="F19" s="142">
        <v>1.1459999999999999</v>
      </c>
      <c r="G19" s="142">
        <v>1.7722</v>
      </c>
      <c r="I19" s="142">
        <v>1.4825999999999999</v>
      </c>
      <c r="J19" s="142">
        <v>1.4853000000000001</v>
      </c>
      <c r="K19" s="142">
        <v>1.4884999999999999</v>
      </c>
      <c r="M19">
        <v>1.3995</v>
      </c>
      <c r="N19">
        <v>1.3912</v>
      </c>
      <c r="O19">
        <v>1.3912</v>
      </c>
      <c r="Q19">
        <v>2.5541999999999998</v>
      </c>
      <c r="R19">
        <v>2.5512000000000001</v>
      </c>
      <c r="S19">
        <v>2.5564</v>
      </c>
      <c r="U19" s="142">
        <v>1.6830000000000001</v>
      </c>
      <c r="V19" s="142">
        <v>1.6874</v>
      </c>
      <c r="W19" s="142">
        <v>1.6826000000000001</v>
      </c>
    </row>
    <row r="20" spans="1:23">
      <c r="B20" s="141" t="s">
        <v>204</v>
      </c>
      <c r="D20" s="142"/>
      <c r="E20" s="142">
        <v>1.1459999999999999</v>
      </c>
      <c r="F20" s="142">
        <v>1.7722</v>
      </c>
      <c r="G20" s="142">
        <v>0.84853672566371696</v>
      </c>
      <c r="I20" s="142">
        <v>1.115</v>
      </c>
      <c r="J20" s="142">
        <v>1.2834000000000001</v>
      </c>
      <c r="K20" s="142">
        <v>1.7623</v>
      </c>
      <c r="M20">
        <v>1.7911999999999999</v>
      </c>
      <c r="N20">
        <v>1.7965</v>
      </c>
      <c r="O20">
        <v>1.7954000000000001</v>
      </c>
      <c r="Q20">
        <v>1.2949999999999999</v>
      </c>
      <c r="R20">
        <v>1.2985</v>
      </c>
      <c r="S20">
        <v>1.2943</v>
      </c>
      <c r="U20" s="142">
        <v>1.4837</v>
      </c>
      <c r="V20" s="142">
        <v>1.4818</v>
      </c>
      <c r="W20" s="142">
        <v>1.4874000000000001</v>
      </c>
    </row>
    <row r="21" spans="1:23">
      <c r="B21" t="s">
        <v>177</v>
      </c>
      <c r="E21" s="142">
        <v>2.5131999999999999</v>
      </c>
      <c r="F21" s="142">
        <v>2.4310999999999998</v>
      </c>
      <c r="G21" s="142">
        <v>2.1185999999999998</v>
      </c>
      <c r="I21" s="142">
        <v>2.3622000000000001</v>
      </c>
      <c r="J21" s="142">
        <v>2.3687</v>
      </c>
      <c r="K21" s="142">
        <v>2.3696999999999999</v>
      </c>
      <c r="M21" s="11">
        <v>1.4355</v>
      </c>
      <c r="N21" s="20">
        <v>1.4355</v>
      </c>
      <c r="O21" s="20">
        <v>1.4355</v>
      </c>
      <c r="Q21" s="11">
        <v>2.6522000000000001</v>
      </c>
      <c r="R21" s="11">
        <v>2.6534</v>
      </c>
      <c r="S21" s="11">
        <v>2.6577999999999999</v>
      </c>
      <c r="U21" s="142">
        <v>2.4329999999999998</v>
      </c>
      <c r="V21" s="142">
        <v>2.4121999999999999</v>
      </c>
      <c r="W21" s="142">
        <v>2.6930000000000001</v>
      </c>
    </row>
    <row r="26" spans="1:23">
      <c r="A26" t="s">
        <v>693</v>
      </c>
      <c r="E26" s="142">
        <f>E18-0.005</f>
        <v>1.4655802469136001</v>
      </c>
      <c r="F26" s="142">
        <f t="shared" ref="F26:W26" si="0">F18-0.005</f>
        <v>1.53</v>
      </c>
      <c r="G26" s="142">
        <f t="shared" si="0"/>
        <v>1.8280000000000001</v>
      </c>
      <c r="H26" s="142"/>
      <c r="I26" s="142">
        <f t="shared" si="0"/>
        <v>0.47070000000000001</v>
      </c>
      <c r="J26" s="142">
        <f t="shared" si="0"/>
        <v>0.46879999999999999</v>
      </c>
      <c r="K26" s="142">
        <f t="shared" si="0"/>
        <v>0.47420000000000001</v>
      </c>
      <c r="L26" s="142"/>
      <c r="M26" s="142">
        <f t="shared" si="0"/>
        <v>0.82930000000000004</v>
      </c>
      <c r="N26" s="142">
        <f t="shared" si="0"/>
        <v>0.83179999999999998</v>
      </c>
      <c r="O26" s="142">
        <f t="shared" si="0"/>
        <v>0.83450000000000002</v>
      </c>
      <c r="P26" s="142"/>
      <c r="Q26" s="142">
        <f t="shared" si="0"/>
        <v>0.94354000000000005</v>
      </c>
      <c r="R26" s="142">
        <f t="shared" si="0"/>
        <v>0.94364000000000003</v>
      </c>
      <c r="S26" s="142">
        <f t="shared" si="0"/>
        <v>0.94396000000000002</v>
      </c>
      <c r="T26" s="142"/>
      <c r="U26" s="142">
        <f t="shared" si="0"/>
        <v>1.6688000000000001</v>
      </c>
      <c r="V26" s="142">
        <f t="shared" si="0"/>
        <v>1.6534000000000002</v>
      </c>
      <c r="W26" s="142">
        <f t="shared" si="0"/>
        <v>1.6704000000000001</v>
      </c>
    </row>
    <row r="27" spans="1:23">
      <c r="E27" s="142">
        <f t="shared" ref="E27:W27" si="1">E19-0.005</f>
        <v>1.8082962962960001</v>
      </c>
      <c r="F27" s="142">
        <f t="shared" si="1"/>
        <v>1.141</v>
      </c>
      <c r="G27" s="142">
        <f t="shared" si="1"/>
        <v>1.7672000000000001</v>
      </c>
      <c r="H27" s="142"/>
      <c r="I27" s="142">
        <f t="shared" si="1"/>
        <v>1.4776</v>
      </c>
      <c r="J27" s="142">
        <f t="shared" si="1"/>
        <v>1.4803000000000002</v>
      </c>
      <c r="K27" s="142">
        <f t="shared" si="1"/>
        <v>1.4835</v>
      </c>
      <c r="L27" s="142"/>
      <c r="M27" s="142">
        <f t="shared" si="1"/>
        <v>1.3945000000000001</v>
      </c>
      <c r="N27" s="142">
        <f t="shared" si="1"/>
        <v>1.3862000000000001</v>
      </c>
      <c r="O27" s="142">
        <f t="shared" si="1"/>
        <v>1.3862000000000001</v>
      </c>
      <c r="P27" s="142"/>
      <c r="Q27" s="142">
        <f t="shared" si="1"/>
        <v>2.5491999999999999</v>
      </c>
      <c r="R27" s="142">
        <f t="shared" si="1"/>
        <v>2.5462000000000002</v>
      </c>
      <c r="S27" s="142">
        <f t="shared" si="1"/>
        <v>2.5514000000000001</v>
      </c>
      <c r="T27" s="142"/>
      <c r="U27" s="142">
        <f t="shared" si="1"/>
        <v>1.6780000000000002</v>
      </c>
      <c r="V27" s="142">
        <f t="shared" si="1"/>
        <v>1.6824000000000001</v>
      </c>
      <c r="W27" s="142">
        <f t="shared" si="1"/>
        <v>1.6776000000000002</v>
      </c>
    </row>
    <row r="28" spans="1:23">
      <c r="E28" s="142">
        <f t="shared" ref="E28:W28" si="2">E20-0.005</f>
        <v>1.141</v>
      </c>
      <c r="F28" s="142">
        <f t="shared" si="2"/>
        <v>1.7672000000000001</v>
      </c>
      <c r="G28" s="142">
        <f t="shared" si="2"/>
        <v>0.84353672566371696</v>
      </c>
      <c r="H28" s="142"/>
      <c r="I28" s="142">
        <f t="shared" si="2"/>
        <v>1.1100000000000001</v>
      </c>
      <c r="J28" s="142">
        <f t="shared" si="2"/>
        <v>1.2784000000000002</v>
      </c>
      <c r="K28" s="142">
        <f t="shared" si="2"/>
        <v>1.7573000000000001</v>
      </c>
      <c r="L28" s="142"/>
      <c r="M28" s="142">
        <f t="shared" si="2"/>
        <v>1.7862</v>
      </c>
      <c r="N28" s="142">
        <f t="shared" si="2"/>
        <v>1.7915000000000001</v>
      </c>
      <c r="O28" s="142">
        <f t="shared" si="2"/>
        <v>1.7904000000000002</v>
      </c>
      <c r="P28" s="142"/>
      <c r="Q28" s="142">
        <f t="shared" si="2"/>
        <v>1.29</v>
      </c>
      <c r="R28" s="142">
        <f t="shared" si="2"/>
        <v>1.2935000000000001</v>
      </c>
      <c r="S28" s="142">
        <f t="shared" si="2"/>
        <v>1.2893000000000001</v>
      </c>
      <c r="T28" s="142"/>
      <c r="U28" s="142">
        <f t="shared" si="2"/>
        <v>1.4787000000000001</v>
      </c>
      <c r="V28" s="142">
        <f t="shared" si="2"/>
        <v>1.4768000000000001</v>
      </c>
      <c r="W28" s="142">
        <f t="shared" si="2"/>
        <v>1.4824000000000002</v>
      </c>
    </row>
    <row r="29" spans="1:23">
      <c r="E29" s="142">
        <f t="shared" ref="E29:W29" si="3">E21-0.005</f>
        <v>2.5082</v>
      </c>
      <c r="F29" s="142">
        <f t="shared" si="3"/>
        <v>2.4260999999999999</v>
      </c>
      <c r="G29" s="142">
        <f t="shared" si="3"/>
        <v>2.1135999999999999</v>
      </c>
      <c r="H29" s="142"/>
      <c r="I29" s="142">
        <f t="shared" si="3"/>
        <v>2.3572000000000002</v>
      </c>
      <c r="J29" s="142">
        <f t="shared" si="3"/>
        <v>2.3637000000000001</v>
      </c>
      <c r="K29" s="142">
        <f t="shared" si="3"/>
        <v>2.3647</v>
      </c>
      <c r="L29" s="142"/>
      <c r="M29" s="142">
        <f t="shared" si="3"/>
        <v>1.4305000000000001</v>
      </c>
      <c r="N29" s="142">
        <f t="shared" si="3"/>
        <v>1.4305000000000001</v>
      </c>
      <c r="O29" s="142">
        <f t="shared" si="3"/>
        <v>1.4305000000000001</v>
      </c>
      <c r="P29" s="142"/>
      <c r="Q29" s="142">
        <f t="shared" si="3"/>
        <v>2.6472000000000002</v>
      </c>
      <c r="R29" s="142">
        <f t="shared" si="3"/>
        <v>2.6484000000000001</v>
      </c>
      <c r="S29" s="142">
        <f t="shared" si="3"/>
        <v>2.6528</v>
      </c>
      <c r="T29" s="142"/>
      <c r="U29" s="142">
        <f t="shared" si="3"/>
        <v>2.4279999999999999</v>
      </c>
      <c r="V29" s="142">
        <f t="shared" si="3"/>
        <v>2.4072</v>
      </c>
      <c r="W29" s="142">
        <f t="shared" si="3"/>
        <v>2.6880000000000002</v>
      </c>
    </row>
    <row r="32" spans="1:23">
      <c r="A32" t="s">
        <v>698</v>
      </c>
      <c r="E32">
        <f>B13-B11</f>
        <v>6.2E-2</v>
      </c>
    </row>
    <row r="36" spans="1:23">
      <c r="A36" t="s">
        <v>699</v>
      </c>
      <c r="E36">
        <f>E26/0.062</f>
        <v>23.638391079251615</v>
      </c>
      <c r="F36">
        <f t="shared" ref="F36:W36" si="4">F26/0.062</f>
        <v>24.677419354838712</v>
      </c>
      <c r="G36">
        <f t="shared" si="4"/>
        <v>29.483870967741936</v>
      </c>
      <c r="H36">
        <f t="shared" si="4"/>
        <v>0</v>
      </c>
      <c r="I36">
        <f t="shared" si="4"/>
        <v>7.5919354838709676</v>
      </c>
      <c r="J36">
        <f t="shared" si="4"/>
        <v>7.5612903225806454</v>
      </c>
      <c r="K36">
        <f t="shared" si="4"/>
        <v>7.6483870967741936</v>
      </c>
      <c r="L36">
        <f t="shared" si="4"/>
        <v>0</v>
      </c>
      <c r="M36">
        <f t="shared" si="4"/>
        <v>13.375806451612904</v>
      </c>
      <c r="N36">
        <f t="shared" si="4"/>
        <v>13.416129032258064</v>
      </c>
      <c r="O36">
        <f t="shared" si="4"/>
        <v>13.45967741935484</v>
      </c>
      <c r="P36">
        <f t="shared" si="4"/>
        <v>0</v>
      </c>
      <c r="Q36">
        <f t="shared" si="4"/>
        <v>15.218387096774194</v>
      </c>
      <c r="R36">
        <f t="shared" si="4"/>
        <v>15.22</v>
      </c>
      <c r="S36">
        <f t="shared" si="4"/>
        <v>15.225161290322582</v>
      </c>
      <c r="T36">
        <f t="shared" si="4"/>
        <v>0</v>
      </c>
      <c r="U36">
        <f t="shared" si="4"/>
        <v>26.916129032258066</v>
      </c>
      <c r="V36">
        <f t="shared" si="4"/>
        <v>26.667741935483875</v>
      </c>
      <c r="W36">
        <f t="shared" si="4"/>
        <v>26.941935483870971</v>
      </c>
    </row>
    <row r="37" spans="1:23">
      <c r="E37">
        <f t="shared" ref="E37:W37" si="5">E27/0.062</f>
        <v>29.166069295096776</v>
      </c>
      <c r="F37">
        <f t="shared" si="5"/>
        <v>18.403225806451612</v>
      </c>
      <c r="G37">
        <f t="shared" si="5"/>
        <v>28.503225806451614</v>
      </c>
      <c r="H37">
        <f t="shared" si="5"/>
        <v>0</v>
      </c>
      <c r="I37">
        <f t="shared" si="5"/>
        <v>23.832258064516129</v>
      </c>
      <c r="J37">
        <f t="shared" si="5"/>
        <v>23.875806451612906</v>
      </c>
      <c r="K37">
        <f t="shared" si="5"/>
        <v>23.927419354838712</v>
      </c>
      <c r="L37">
        <f t="shared" si="5"/>
        <v>0</v>
      </c>
      <c r="M37">
        <f t="shared" si="5"/>
        <v>22.491935483870968</v>
      </c>
      <c r="N37">
        <f t="shared" si="5"/>
        <v>22.358064516129033</v>
      </c>
      <c r="O37">
        <f t="shared" si="5"/>
        <v>22.358064516129033</v>
      </c>
      <c r="P37">
        <f t="shared" si="5"/>
        <v>0</v>
      </c>
      <c r="Q37">
        <f t="shared" si="5"/>
        <v>41.116129032258065</v>
      </c>
      <c r="R37">
        <f t="shared" si="5"/>
        <v>41.067741935483873</v>
      </c>
      <c r="S37">
        <f t="shared" si="5"/>
        <v>41.151612903225811</v>
      </c>
      <c r="T37">
        <f t="shared" si="5"/>
        <v>0</v>
      </c>
      <c r="U37">
        <f t="shared" si="5"/>
        <v>27.06451612903226</v>
      </c>
      <c r="V37">
        <f t="shared" si="5"/>
        <v>27.135483870967743</v>
      </c>
      <c r="W37">
        <f t="shared" si="5"/>
        <v>27.058064516129036</v>
      </c>
    </row>
    <row r="38" spans="1:23">
      <c r="E38">
        <f t="shared" ref="E38:W38" si="6">E28/0.062</f>
        <v>18.403225806451612</v>
      </c>
      <c r="F38">
        <f t="shared" si="6"/>
        <v>28.503225806451614</v>
      </c>
      <c r="G38">
        <f t="shared" si="6"/>
        <v>13.60543105909221</v>
      </c>
      <c r="H38">
        <f t="shared" si="6"/>
        <v>0</v>
      </c>
      <c r="I38">
        <f t="shared" si="6"/>
        <v>17.903225806451616</v>
      </c>
      <c r="J38">
        <f t="shared" si="6"/>
        <v>20.619354838709683</v>
      </c>
      <c r="K38">
        <f t="shared" si="6"/>
        <v>28.343548387096774</v>
      </c>
      <c r="L38">
        <f t="shared" si="6"/>
        <v>0</v>
      </c>
      <c r="M38">
        <f t="shared" si="6"/>
        <v>28.809677419354838</v>
      </c>
      <c r="N38">
        <f t="shared" si="6"/>
        <v>28.895161290322584</v>
      </c>
      <c r="O38">
        <f t="shared" si="6"/>
        <v>28.877419354838715</v>
      </c>
      <c r="P38">
        <f t="shared" si="6"/>
        <v>0</v>
      </c>
      <c r="Q38">
        <f t="shared" si="6"/>
        <v>20.806451612903228</v>
      </c>
      <c r="R38">
        <f t="shared" si="6"/>
        <v>20.862903225806452</v>
      </c>
      <c r="S38">
        <f t="shared" si="6"/>
        <v>20.795161290322582</v>
      </c>
      <c r="T38">
        <f t="shared" si="6"/>
        <v>0</v>
      </c>
      <c r="U38">
        <f t="shared" si="6"/>
        <v>23.85</v>
      </c>
      <c r="V38">
        <f t="shared" si="6"/>
        <v>23.819354838709678</v>
      </c>
      <c r="W38">
        <f t="shared" si="6"/>
        <v>23.909677419354843</v>
      </c>
    </row>
    <row r="39" spans="1:23">
      <c r="E39">
        <f t="shared" ref="E39:W39" si="7">E29/0.062</f>
        <v>40.454838709677418</v>
      </c>
      <c r="F39">
        <f t="shared" si="7"/>
        <v>39.130645161290325</v>
      </c>
      <c r="G39">
        <f t="shared" si="7"/>
        <v>34.090322580645157</v>
      </c>
      <c r="H39">
        <f t="shared" si="7"/>
        <v>0</v>
      </c>
      <c r="I39">
        <f t="shared" si="7"/>
        <v>38.019354838709681</v>
      </c>
      <c r="J39">
        <f t="shared" si="7"/>
        <v>38.124193548387098</v>
      </c>
      <c r="K39">
        <f t="shared" si="7"/>
        <v>38.140322580645162</v>
      </c>
      <c r="L39">
        <f t="shared" si="7"/>
        <v>0</v>
      </c>
      <c r="M39">
        <f t="shared" si="7"/>
        <v>23.072580645161292</v>
      </c>
      <c r="N39">
        <f t="shared" si="7"/>
        <v>23.072580645161292</v>
      </c>
      <c r="O39">
        <f t="shared" si="7"/>
        <v>23.072580645161292</v>
      </c>
      <c r="P39">
        <f t="shared" si="7"/>
        <v>0</v>
      </c>
      <c r="Q39">
        <f t="shared" si="7"/>
        <v>42.696774193548393</v>
      </c>
      <c r="R39">
        <f t="shared" si="7"/>
        <v>42.716129032258067</v>
      </c>
      <c r="S39">
        <f t="shared" si="7"/>
        <v>42.78709677419355</v>
      </c>
      <c r="T39">
        <f t="shared" si="7"/>
        <v>0</v>
      </c>
      <c r="U39">
        <f t="shared" si="7"/>
        <v>39.161290322580648</v>
      </c>
      <c r="V39">
        <f t="shared" si="7"/>
        <v>38.825806451612905</v>
      </c>
      <c r="W39">
        <f t="shared" si="7"/>
        <v>43.354838709677423</v>
      </c>
    </row>
    <row r="43" spans="1:23">
      <c r="A43" t="s">
        <v>696</v>
      </c>
    </row>
    <row r="44" spans="1:23">
      <c r="E44">
        <f>E36*10*1</f>
        <v>236.38391079251616</v>
      </c>
      <c r="F44">
        <f t="shared" ref="F44:W44" si="8">F36*10*1</f>
        <v>246.77419354838713</v>
      </c>
      <c r="G44">
        <f t="shared" si="8"/>
        <v>294.83870967741939</v>
      </c>
      <c r="I44">
        <f t="shared" si="8"/>
        <v>75.91935483870968</v>
      </c>
      <c r="J44">
        <f t="shared" si="8"/>
        <v>75.612903225806448</v>
      </c>
      <c r="K44">
        <f t="shared" si="8"/>
        <v>76.483870967741936</v>
      </c>
      <c r="L44">
        <f t="shared" si="8"/>
        <v>0</v>
      </c>
      <c r="M44">
        <f t="shared" si="8"/>
        <v>133.75806451612905</v>
      </c>
      <c r="N44">
        <f t="shared" si="8"/>
        <v>134.16129032258064</v>
      </c>
      <c r="O44">
        <f t="shared" si="8"/>
        <v>134.59677419354841</v>
      </c>
      <c r="P44">
        <f t="shared" si="8"/>
        <v>0</v>
      </c>
      <c r="Q44">
        <f t="shared" si="8"/>
        <v>152.18387096774194</v>
      </c>
      <c r="R44">
        <f t="shared" si="8"/>
        <v>152.20000000000002</v>
      </c>
      <c r="S44">
        <f t="shared" si="8"/>
        <v>152.2516129032258</v>
      </c>
      <c r="T44">
        <f t="shared" si="8"/>
        <v>0</v>
      </c>
      <c r="U44">
        <f t="shared" si="8"/>
        <v>269.16129032258067</v>
      </c>
      <c r="V44">
        <f t="shared" si="8"/>
        <v>266.67741935483878</v>
      </c>
      <c r="W44">
        <f t="shared" si="8"/>
        <v>269.41935483870969</v>
      </c>
    </row>
    <row r="45" spans="1:23">
      <c r="E45">
        <f t="shared" ref="E45:W45" si="9">E37*10*1</f>
        <v>291.66069295096776</v>
      </c>
      <c r="F45">
        <f t="shared" si="9"/>
        <v>184.03225806451613</v>
      </c>
      <c r="G45">
        <f t="shared" si="9"/>
        <v>285.03225806451616</v>
      </c>
      <c r="I45">
        <f t="shared" si="9"/>
        <v>238.32258064516128</v>
      </c>
      <c r="J45">
        <f t="shared" si="9"/>
        <v>238.75806451612905</v>
      </c>
      <c r="K45">
        <f t="shared" si="9"/>
        <v>239.27419354838713</v>
      </c>
      <c r="L45">
        <f t="shared" si="9"/>
        <v>0</v>
      </c>
      <c r="M45">
        <f t="shared" si="9"/>
        <v>224.91935483870969</v>
      </c>
      <c r="N45">
        <f t="shared" si="9"/>
        <v>223.58064516129033</v>
      </c>
      <c r="O45">
        <f t="shared" si="9"/>
        <v>223.58064516129033</v>
      </c>
      <c r="P45">
        <f t="shared" si="9"/>
        <v>0</v>
      </c>
      <c r="Q45">
        <f t="shared" si="9"/>
        <v>411.16129032258067</v>
      </c>
      <c r="R45">
        <f t="shared" si="9"/>
        <v>410.67741935483872</v>
      </c>
      <c r="S45">
        <f t="shared" si="9"/>
        <v>411.51612903225811</v>
      </c>
      <c r="T45">
        <f t="shared" si="9"/>
        <v>0</v>
      </c>
      <c r="U45">
        <f t="shared" si="9"/>
        <v>270.64516129032262</v>
      </c>
      <c r="V45">
        <f t="shared" si="9"/>
        <v>271.35483870967744</v>
      </c>
      <c r="W45">
        <f t="shared" si="9"/>
        <v>270.58064516129036</v>
      </c>
    </row>
    <row r="46" spans="1:23">
      <c r="E46">
        <f t="shared" ref="E46:W46" si="10">E38*10*1</f>
        <v>184.03225806451613</v>
      </c>
      <c r="F46">
        <f t="shared" si="10"/>
        <v>285.03225806451616</v>
      </c>
      <c r="G46">
        <f t="shared" si="10"/>
        <v>136.05431059092209</v>
      </c>
      <c r="I46">
        <f t="shared" si="10"/>
        <v>179.03225806451616</v>
      </c>
      <c r="J46">
        <f t="shared" si="10"/>
        <v>206.19354838709683</v>
      </c>
      <c r="K46">
        <f t="shared" si="10"/>
        <v>283.43548387096774</v>
      </c>
      <c r="L46">
        <f t="shared" si="10"/>
        <v>0</v>
      </c>
      <c r="M46">
        <f t="shared" si="10"/>
        <v>288.09677419354836</v>
      </c>
      <c r="N46">
        <f t="shared" si="10"/>
        <v>288.95161290322585</v>
      </c>
      <c r="O46">
        <f t="shared" si="10"/>
        <v>288.77419354838713</v>
      </c>
      <c r="P46">
        <f t="shared" si="10"/>
        <v>0</v>
      </c>
      <c r="Q46">
        <f t="shared" si="10"/>
        <v>208.06451612903228</v>
      </c>
      <c r="R46">
        <f t="shared" si="10"/>
        <v>208.62903225806451</v>
      </c>
      <c r="S46">
        <f t="shared" si="10"/>
        <v>207.95161290322582</v>
      </c>
      <c r="T46">
        <f t="shared" si="10"/>
        <v>0</v>
      </c>
      <c r="U46">
        <f t="shared" si="10"/>
        <v>238.5</v>
      </c>
      <c r="V46">
        <f t="shared" si="10"/>
        <v>238.19354838709677</v>
      </c>
      <c r="W46">
        <f t="shared" si="10"/>
        <v>239.09677419354841</v>
      </c>
    </row>
    <row r="47" spans="1:23">
      <c r="E47">
        <f t="shared" ref="E47:W47" si="11">E39*10*1</f>
        <v>404.54838709677415</v>
      </c>
      <c r="F47">
        <f t="shared" si="11"/>
        <v>391.30645161290323</v>
      </c>
      <c r="G47">
        <f t="shared" si="11"/>
        <v>340.90322580645159</v>
      </c>
      <c r="I47">
        <f t="shared" si="11"/>
        <v>380.19354838709683</v>
      </c>
      <c r="J47">
        <f t="shared" si="11"/>
        <v>381.24193548387098</v>
      </c>
      <c r="K47">
        <f t="shared" si="11"/>
        <v>381.40322580645159</v>
      </c>
      <c r="L47">
        <f t="shared" si="11"/>
        <v>0</v>
      </c>
      <c r="M47">
        <f t="shared" si="11"/>
        <v>230.72580645161293</v>
      </c>
      <c r="N47">
        <f t="shared" si="11"/>
        <v>230.72580645161293</v>
      </c>
      <c r="O47">
        <f t="shared" si="11"/>
        <v>230.72580645161293</v>
      </c>
      <c r="P47">
        <f t="shared" si="11"/>
        <v>0</v>
      </c>
      <c r="Q47">
        <f t="shared" si="11"/>
        <v>426.9677419354839</v>
      </c>
      <c r="R47">
        <f t="shared" si="11"/>
        <v>427.16129032258067</v>
      </c>
      <c r="S47">
        <f t="shared" si="11"/>
        <v>427.87096774193549</v>
      </c>
      <c r="T47">
        <f t="shared" si="11"/>
        <v>0</v>
      </c>
      <c r="U47">
        <f t="shared" si="11"/>
        <v>391.61290322580646</v>
      </c>
      <c r="V47">
        <f t="shared" si="11"/>
        <v>388.25806451612902</v>
      </c>
      <c r="W47">
        <f t="shared" si="11"/>
        <v>433.54838709677426</v>
      </c>
    </row>
    <row r="51" spans="2:21">
      <c r="B51" t="s">
        <v>171</v>
      </c>
      <c r="E51">
        <f>AVERAGE(E44:G44)</f>
        <v>259.33227133944087</v>
      </c>
      <c r="I51">
        <f t="shared" ref="I51:U51" si="12">AVERAGE(I44:K44)</f>
        <v>76.005376344086017</v>
      </c>
      <c r="M51">
        <f t="shared" si="12"/>
        <v>134.1720430107527</v>
      </c>
      <c r="Q51">
        <f t="shared" si="12"/>
        <v>152.21182795698925</v>
      </c>
      <c r="U51">
        <f t="shared" si="12"/>
        <v>268.41935483870975</v>
      </c>
    </row>
    <row r="52" spans="2:21">
      <c r="E52">
        <f t="shared" ref="E52:E54" si="13">AVERAGE(E45:G45)</f>
        <v>253.57506969333335</v>
      </c>
      <c r="I52">
        <f t="shared" ref="I52:I54" si="14">AVERAGE(I45:K45)</f>
        <v>238.78494623655919</v>
      </c>
      <c r="M52">
        <f t="shared" ref="M52:M54" si="15">AVERAGE(M45:O45)</f>
        <v>224.02688172043011</v>
      </c>
      <c r="Q52">
        <f t="shared" ref="Q52:Q54" si="16">AVERAGE(Q45:S45)</f>
        <v>411.11827956989254</v>
      </c>
      <c r="U52">
        <f t="shared" ref="U52:U54" si="17">AVERAGE(U45:W45)</f>
        <v>270.86021505376345</v>
      </c>
    </row>
    <row r="53" spans="2:21">
      <c r="E53">
        <f t="shared" si="13"/>
        <v>201.70627557331815</v>
      </c>
      <c r="I53">
        <f t="shared" si="14"/>
        <v>222.88709677419357</v>
      </c>
      <c r="M53">
        <f t="shared" si="15"/>
        <v>288.60752688172039</v>
      </c>
      <c r="Q53">
        <f t="shared" si="16"/>
        <v>208.21505376344089</v>
      </c>
      <c r="U53">
        <f t="shared" si="17"/>
        <v>238.59677419354838</v>
      </c>
    </row>
    <row r="54" spans="2:21">
      <c r="E54">
        <f t="shared" si="13"/>
        <v>378.91935483870958</v>
      </c>
      <c r="I54">
        <f t="shared" si="14"/>
        <v>380.94623655913983</v>
      </c>
      <c r="M54">
        <f t="shared" si="15"/>
        <v>230.72580645161293</v>
      </c>
      <c r="Q54">
        <f t="shared" si="16"/>
        <v>427.33333333333331</v>
      </c>
      <c r="U54">
        <f t="shared" si="17"/>
        <v>404.47311827956992</v>
      </c>
    </row>
  </sheetData>
  <mergeCells count="5">
    <mergeCell ref="E17:G17"/>
    <mergeCell ref="I17:K17"/>
    <mergeCell ref="M17:O17"/>
    <mergeCell ref="Q17:S17"/>
    <mergeCell ref="U17:W17"/>
  </mergeCells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2"/>
  <sheetViews>
    <sheetView topLeftCell="A2" workbookViewId="0">
      <selection activeCell="D15" sqref="D15"/>
    </sheetView>
  </sheetViews>
  <sheetFormatPr defaultRowHeight="15"/>
  <sheetData>
    <row r="2" spans="1:5">
      <c r="A2" s="1" t="s">
        <v>528</v>
      </c>
    </row>
    <row r="3" spans="1:5">
      <c r="C3" s="1" t="s">
        <v>535</v>
      </c>
    </row>
    <row r="4" spans="1:5">
      <c r="C4" s="172"/>
      <c r="D4" s="172"/>
      <c r="E4" s="172"/>
    </row>
    <row r="5" spans="1:5">
      <c r="C5" s="7" t="s">
        <v>529</v>
      </c>
      <c r="D5" s="7" t="s">
        <v>493</v>
      </c>
      <c r="E5" s="7" t="s">
        <v>494</v>
      </c>
    </row>
    <row r="6" spans="1:5">
      <c r="B6" s="7" t="s">
        <v>532</v>
      </c>
      <c r="C6" s="126">
        <v>8.1750000000000007</v>
      </c>
      <c r="D6" s="126">
        <v>6.1580000000000004</v>
      </c>
      <c r="E6" s="126">
        <v>5.1980000000000004</v>
      </c>
    </row>
    <row r="7" spans="1:5">
      <c r="B7" t="s">
        <v>531</v>
      </c>
      <c r="C7" s="126">
        <v>7.415</v>
      </c>
      <c r="D7" s="126">
        <v>6.7169999999999996</v>
      </c>
      <c r="E7" s="126">
        <v>6.492</v>
      </c>
    </row>
    <row r="8" spans="1:5">
      <c r="B8" t="s">
        <v>530</v>
      </c>
      <c r="C8" s="126">
        <v>6.7969999999999997</v>
      </c>
      <c r="D8" s="126">
        <v>7.3170000000000002</v>
      </c>
      <c r="E8" s="126">
        <v>6.3979999999999997</v>
      </c>
    </row>
    <row r="9" spans="1:5">
      <c r="B9" t="s">
        <v>533</v>
      </c>
      <c r="C9" s="126">
        <v>6.9660000000000002</v>
      </c>
      <c r="D9" s="126">
        <v>6.1159999999999997</v>
      </c>
      <c r="E9" s="126">
        <v>5.9610000000000003</v>
      </c>
    </row>
    <row r="10" spans="1:5">
      <c r="B10" t="s">
        <v>534</v>
      </c>
      <c r="C10" s="126">
        <v>7.516</v>
      </c>
      <c r="D10" s="126">
        <v>6.9669999999999996</v>
      </c>
      <c r="E10" s="126">
        <v>6.73</v>
      </c>
    </row>
    <row r="11" spans="1:5">
      <c r="B11" s="1" t="s">
        <v>385</v>
      </c>
      <c r="C11" s="126">
        <f>AVERAGE(C6:C10)</f>
        <v>7.3738000000000001</v>
      </c>
      <c r="D11" s="126">
        <f t="shared" ref="D11:E11" si="0">AVERAGE(D6:D10)</f>
        <v>6.6549999999999994</v>
      </c>
      <c r="E11" s="126">
        <f t="shared" si="0"/>
        <v>6.1558000000000002</v>
      </c>
    </row>
    <row r="12" spans="1:5">
      <c r="B12" s="1" t="s">
        <v>255</v>
      </c>
      <c r="C12">
        <f>STDEV(C6:C10)</f>
        <v>0.53917501796726475</v>
      </c>
      <c r="D12">
        <f t="shared" ref="D12:E12" si="1">STDEV(D6:D10)</f>
        <v>0.51888389838190196</v>
      </c>
      <c r="E12">
        <f t="shared" si="1"/>
        <v>0.60347427451383528</v>
      </c>
    </row>
  </sheetData>
  <mergeCells count="1">
    <mergeCell ref="C4:E4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3"/>
  <sheetViews>
    <sheetView topLeftCell="A13" workbookViewId="0">
      <selection activeCell="F2" sqref="F2"/>
    </sheetView>
  </sheetViews>
  <sheetFormatPr defaultRowHeight="15"/>
  <cols>
    <col min="8" max="8" width="15" customWidth="1"/>
  </cols>
  <sheetData>
    <row r="1" spans="1:21">
      <c r="A1" s="1" t="s">
        <v>525</v>
      </c>
    </row>
    <row r="3" spans="1:21">
      <c r="A3" s="7" t="s">
        <v>497</v>
      </c>
      <c r="C3" s="128" t="s">
        <v>498</v>
      </c>
      <c r="D3" s="126"/>
      <c r="E3" s="126"/>
      <c r="F3" s="128" t="s">
        <v>499</v>
      </c>
      <c r="G3" s="126"/>
      <c r="H3" s="126"/>
      <c r="I3" s="128" t="s">
        <v>500</v>
      </c>
      <c r="J3" s="126"/>
      <c r="K3" s="126"/>
      <c r="L3" s="128" t="s">
        <v>501</v>
      </c>
      <c r="M3" s="126"/>
      <c r="N3" s="126"/>
      <c r="O3" s="128" t="s">
        <v>502</v>
      </c>
      <c r="P3" s="126"/>
      <c r="Q3" s="126"/>
      <c r="R3" s="128" t="s">
        <v>503</v>
      </c>
      <c r="S3" s="126"/>
      <c r="T3" s="126"/>
      <c r="U3" s="126"/>
    </row>
    <row r="4" spans="1:21">
      <c r="B4" s="7" t="s">
        <v>504</v>
      </c>
      <c r="C4" s="127" t="s">
        <v>0</v>
      </c>
      <c r="D4" s="127" t="s">
        <v>505</v>
      </c>
      <c r="E4" s="127" t="s">
        <v>506</v>
      </c>
      <c r="F4" s="127" t="s">
        <v>0</v>
      </c>
      <c r="G4" s="127" t="s">
        <v>505</v>
      </c>
      <c r="H4" s="127" t="s">
        <v>506</v>
      </c>
      <c r="I4" s="127" t="s">
        <v>0</v>
      </c>
      <c r="J4" s="127" t="s">
        <v>505</v>
      </c>
      <c r="K4" s="127" t="s">
        <v>506</v>
      </c>
      <c r="L4" s="127" t="s">
        <v>0</v>
      </c>
      <c r="M4" s="127" t="s">
        <v>505</v>
      </c>
      <c r="N4" s="127" t="s">
        <v>506</v>
      </c>
      <c r="O4" s="127" t="s">
        <v>0</v>
      </c>
      <c r="P4" s="127" t="s">
        <v>505</v>
      </c>
      <c r="Q4" s="127" t="s">
        <v>506</v>
      </c>
      <c r="R4" s="127" t="s">
        <v>0</v>
      </c>
      <c r="S4" s="127" t="s">
        <v>505</v>
      </c>
      <c r="T4" s="127" t="s">
        <v>506</v>
      </c>
      <c r="U4" s="127"/>
    </row>
    <row r="5" spans="1:21">
      <c r="A5" s="7" t="s">
        <v>507</v>
      </c>
      <c r="B5" s="7">
        <v>1</v>
      </c>
      <c r="C5" s="126">
        <v>6.5</v>
      </c>
      <c r="D5" s="126">
        <v>5.7</v>
      </c>
      <c r="E5" s="126">
        <f t="shared" ref="E5:E9" si="0">C5*D5*D5/2</f>
        <v>105.59250000000002</v>
      </c>
      <c r="F5" s="126">
        <v>7.2</v>
      </c>
      <c r="G5" s="126">
        <v>5.5</v>
      </c>
      <c r="H5" s="126">
        <f t="shared" ref="H5:H9" si="1">F5*G5*G5/2</f>
        <v>108.9</v>
      </c>
      <c r="I5" s="126">
        <v>7.2</v>
      </c>
      <c r="J5" s="126">
        <v>5.9</v>
      </c>
      <c r="K5" s="126">
        <f t="shared" ref="K5:K9" si="2">I5*J5*J5/2</f>
        <v>125.31600000000002</v>
      </c>
      <c r="L5" s="126">
        <v>7.4</v>
      </c>
      <c r="M5" s="126">
        <v>6.6</v>
      </c>
      <c r="N5" s="126">
        <f t="shared" ref="N5:N9" si="3">L5*M5*M5/2</f>
        <v>161.17199999999997</v>
      </c>
      <c r="O5" s="126">
        <v>7.6</v>
      </c>
      <c r="P5" s="126">
        <v>6.3</v>
      </c>
      <c r="Q5" s="126">
        <f t="shared" ref="Q5:Q9" si="4">O5*P5*P5/2</f>
        <v>150.82199999999997</v>
      </c>
      <c r="R5" s="126">
        <v>8.1999999999999993</v>
      </c>
      <c r="S5" s="126">
        <v>8</v>
      </c>
      <c r="T5" s="126">
        <f>R5*S5*S5/2</f>
        <v>262.39999999999998</v>
      </c>
    </row>
    <row r="6" spans="1:21">
      <c r="B6" s="7">
        <v>2</v>
      </c>
      <c r="C6" s="126">
        <v>5.7</v>
      </c>
      <c r="D6" s="126">
        <v>5.2</v>
      </c>
      <c r="E6" s="126">
        <f t="shared" si="0"/>
        <v>77.064000000000007</v>
      </c>
      <c r="F6" s="126">
        <v>6.2</v>
      </c>
      <c r="G6" s="126">
        <v>5.4</v>
      </c>
      <c r="H6" s="126">
        <f t="shared" si="1"/>
        <v>90.396000000000015</v>
      </c>
      <c r="I6" s="126">
        <v>6</v>
      </c>
      <c r="J6" s="126">
        <v>6</v>
      </c>
      <c r="K6" s="126">
        <f t="shared" si="2"/>
        <v>108</v>
      </c>
      <c r="L6" s="126">
        <v>6.2</v>
      </c>
      <c r="M6" s="126">
        <v>5.0999999999999996</v>
      </c>
      <c r="N6" s="126">
        <f t="shared" si="3"/>
        <v>80.630999999999986</v>
      </c>
      <c r="O6" s="126">
        <v>8</v>
      </c>
      <c r="P6" s="126">
        <v>6.3</v>
      </c>
      <c r="Q6" s="126">
        <f t="shared" si="4"/>
        <v>158.76</v>
      </c>
      <c r="R6" s="126">
        <v>8.5</v>
      </c>
      <c r="S6" s="126">
        <v>7</v>
      </c>
      <c r="T6" s="126">
        <f>R6*S6*S6/2</f>
        <v>208.25</v>
      </c>
    </row>
    <row r="7" spans="1:21">
      <c r="B7" s="7">
        <v>3</v>
      </c>
      <c r="C7" s="126">
        <v>6.8</v>
      </c>
      <c r="D7" s="126">
        <v>5.7</v>
      </c>
      <c r="E7" s="126">
        <f t="shared" si="0"/>
        <v>110.46599999999999</v>
      </c>
      <c r="F7" s="126">
        <v>7.1</v>
      </c>
      <c r="G7" s="126">
        <v>6.4</v>
      </c>
      <c r="H7" s="126">
        <f t="shared" si="1"/>
        <v>145.40799999999999</v>
      </c>
      <c r="I7" s="126">
        <v>6.5</v>
      </c>
      <c r="J7" s="126">
        <v>6.5</v>
      </c>
      <c r="K7" s="126">
        <f t="shared" si="2"/>
        <v>137.3125</v>
      </c>
      <c r="L7" s="126">
        <v>6.5</v>
      </c>
      <c r="M7" s="126">
        <v>6.3</v>
      </c>
      <c r="N7" s="126">
        <f t="shared" si="3"/>
        <v>128.99249999999998</v>
      </c>
      <c r="O7" s="126">
        <v>8.8000000000000007</v>
      </c>
      <c r="P7" s="126">
        <v>6.4</v>
      </c>
      <c r="Q7" s="126">
        <f t="shared" si="4"/>
        <v>180.22400000000005</v>
      </c>
      <c r="R7" s="126">
        <v>8.5</v>
      </c>
      <c r="S7" s="126">
        <v>7</v>
      </c>
      <c r="T7" s="126">
        <f>R7*S7*S7/2</f>
        <v>208.25</v>
      </c>
    </row>
    <row r="8" spans="1:21">
      <c r="B8" s="7">
        <v>4</v>
      </c>
      <c r="C8" s="126">
        <v>6.5</v>
      </c>
      <c r="D8" s="126">
        <v>5.4</v>
      </c>
      <c r="E8" s="126">
        <f t="shared" si="0"/>
        <v>94.77000000000001</v>
      </c>
      <c r="F8" s="126">
        <v>5.4</v>
      </c>
      <c r="G8" s="126">
        <v>5.4</v>
      </c>
      <c r="H8" s="126">
        <f t="shared" si="1"/>
        <v>78.732000000000014</v>
      </c>
      <c r="I8" s="126">
        <v>6.8</v>
      </c>
      <c r="J8" s="126">
        <v>6.2</v>
      </c>
      <c r="K8" s="126">
        <f t="shared" si="2"/>
        <v>130.696</v>
      </c>
      <c r="L8" s="126">
        <v>7.6</v>
      </c>
      <c r="M8" s="126">
        <v>6.5</v>
      </c>
      <c r="N8" s="126">
        <f t="shared" si="3"/>
        <v>160.54999999999998</v>
      </c>
      <c r="O8" s="126">
        <v>7.5</v>
      </c>
      <c r="P8" s="126">
        <v>6.3</v>
      </c>
      <c r="Q8" s="126">
        <f t="shared" si="4"/>
        <v>148.83750000000001</v>
      </c>
      <c r="R8" s="126">
        <v>7.6</v>
      </c>
      <c r="S8" s="126">
        <v>7</v>
      </c>
      <c r="T8" s="126">
        <f t="shared" ref="T8:T9" si="5">R8*S8*S8/2</f>
        <v>186.2</v>
      </c>
    </row>
    <row r="9" spans="1:21">
      <c r="B9" s="7">
        <v>5</v>
      </c>
      <c r="C9" s="126">
        <v>5</v>
      </c>
      <c r="D9" s="126">
        <v>5</v>
      </c>
      <c r="E9" s="126">
        <f t="shared" si="0"/>
        <v>62.5</v>
      </c>
      <c r="F9" s="126">
        <v>6.4</v>
      </c>
      <c r="G9" s="126">
        <v>6.1</v>
      </c>
      <c r="H9" s="126">
        <f t="shared" si="1"/>
        <v>119.07199999999999</v>
      </c>
      <c r="I9" s="126">
        <v>6</v>
      </c>
      <c r="J9" s="126">
        <v>6</v>
      </c>
      <c r="K9" s="126">
        <f t="shared" si="2"/>
        <v>108</v>
      </c>
      <c r="L9" s="126">
        <v>6.2</v>
      </c>
      <c r="M9" s="126">
        <v>5.8</v>
      </c>
      <c r="N9" s="126">
        <f t="shared" si="3"/>
        <v>104.28400000000001</v>
      </c>
      <c r="O9" s="126">
        <v>7.8</v>
      </c>
      <c r="P9" s="126">
        <v>6.7</v>
      </c>
      <c r="Q9" s="126">
        <f t="shared" si="4"/>
        <v>175.071</v>
      </c>
      <c r="R9" s="126">
        <v>7.5</v>
      </c>
      <c r="S9" s="126">
        <v>7</v>
      </c>
      <c r="T9" s="126">
        <f t="shared" si="5"/>
        <v>183.75</v>
      </c>
    </row>
    <row r="10" spans="1:21">
      <c r="B10" s="7" t="s">
        <v>508</v>
      </c>
      <c r="C10" s="126"/>
      <c r="D10" s="126"/>
      <c r="E10" s="126">
        <f>AVERAGE(E5:E9)</f>
        <v>90.078500000000005</v>
      </c>
      <c r="F10" s="126"/>
      <c r="G10" s="126"/>
      <c r="H10" s="126">
        <f>AVERAGE(H5:H9)</f>
        <v>108.50160000000001</v>
      </c>
      <c r="I10" s="126"/>
      <c r="J10" s="126"/>
      <c r="K10" s="126">
        <f>AVERAGE(K5:K9)</f>
        <v>121.86490000000001</v>
      </c>
      <c r="L10" s="126"/>
      <c r="M10" s="126"/>
      <c r="N10" s="126">
        <f>AVERAGE(N5:N9)</f>
        <v>127.12589999999997</v>
      </c>
      <c r="O10" s="126"/>
      <c r="P10" s="126"/>
      <c r="Q10" s="126">
        <f>AVERAGE(Q5:Q9)</f>
        <v>162.74290000000002</v>
      </c>
      <c r="R10" s="126"/>
      <c r="S10" s="126"/>
      <c r="T10" s="126">
        <f>AVERAGE(T5:T9)</f>
        <v>209.76999999999998</v>
      </c>
    </row>
    <row r="11" spans="1:21">
      <c r="B11" s="7" t="s">
        <v>509</v>
      </c>
      <c r="C11" s="126"/>
      <c r="D11" s="126"/>
      <c r="E11" s="126">
        <f>STDEV(E5:E9)</f>
        <v>20.05177920410058</v>
      </c>
      <c r="F11" s="126"/>
      <c r="G11" s="126"/>
      <c r="H11" s="126">
        <f>STDEV(H5:H9)</f>
        <v>25.923041272196457</v>
      </c>
      <c r="I11" s="126"/>
      <c r="J11" s="126"/>
      <c r="K11" s="126">
        <f>STDEV(K5:K9)</f>
        <v>13.351008091151769</v>
      </c>
      <c r="L11" s="126"/>
      <c r="M11" s="126"/>
      <c r="N11" s="126">
        <f>STDEV(N5:N9)</f>
        <v>35.2254159067001</v>
      </c>
      <c r="O11" s="126"/>
      <c r="P11" s="126"/>
      <c r="Q11" s="126">
        <f>STDEV(Q5:Q9)</f>
        <v>14.22060481484527</v>
      </c>
      <c r="R11" s="126"/>
      <c r="S11" s="126"/>
      <c r="T11" s="126">
        <f>STDEV(T5:T9)</f>
        <v>31.650920207791948</v>
      </c>
    </row>
    <row r="14" spans="1:21">
      <c r="A14" s="7" t="s">
        <v>497</v>
      </c>
      <c r="C14" s="128" t="s">
        <v>510</v>
      </c>
      <c r="F14" s="128" t="s">
        <v>511</v>
      </c>
      <c r="I14" s="128" t="s">
        <v>512</v>
      </c>
      <c r="L14" s="128" t="s">
        <v>513</v>
      </c>
      <c r="O14" s="128" t="s">
        <v>514</v>
      </c>
      <c r="R14" s="128" t="s">
        <v>515</v>
      </c>
    </row>
    <row r="15" spans="1:21">
      <c r="A15" s="7"/>
      <c r="B15" s="7" t="s">
        <v>504</v>
      </c>
      <c r="C15" s="127" t="s">
        <v>0</v>
      </c>
      <c r="D15" s="127" t="s">
        <v>505</v>
      </c>
      <c r="E15" s="127" t="s">
        <v>506</v>
      </c>
      <c r="F15" s="127" t="s">
        <v>0</v>
      </c>
      <c r="G15" s="127" t="s">
        <v>505</v>
      </c>
      <c r="H15" s="127" t="s">
        <v>506</v>
      </c>
      <c r="I15" s="127" t="s">
        <v>0</v>
      </c>
      <c r="J15" s="127" t="s">
        <v>505</v>
      </c>
      <c r="K15" s="127" t="s">
        <v>506</v>
      </c>
      <c r="L15" s="127" t="s">
        <v>0</v>
      </c>
      <c r="M15" s="127" t="s">
        <v>505</v>
      </c>
      <c r="N15" s="127" t="s">
        <v>506</v>
      </c>
      <c r="O15" s="127" t="s">
        <v>0</v>
      </c>
      <c r="P15" s="127" t="s">
        <v>505</v>
      </c>
      <c r="Q15" s="127" t="s">
        <v>506</v>
      </c>
      <c r="R15" s="127" t="s">
        <v>0</v>
      </c>
      <c r="S15" s="127" t="s">
        <v>505</v>
      </c>
      <c r="T15" s="127" t="s">
        <v>506</v>
      </c>
    </row>
    <row r="16" spans="1:21">
      <c r="A16" s="7" t="s">
        <v>516</v>
      </c>
      <c r="B16" s="7">
        <v>1</v>
      </c>
      <c r="C16" s="126">
        <v>7.1</v>
      </c>
      <c r="D16" s="126">
        <v>6.5</v>
      </c>
      <c r="E16" s="126">
        <f t="shared" ref="E16:E20" si="6">C16*D16*D16/2</f>
        <v>149.98749999999998</v>
      </c>
      <c r="F16" s="126">
        <v>6.8</v>
      </c>
      <c r="G16" s="126">
        <v>5.7</v>
      </c>
      <c r="H16" s="126">
        <f t="shared" ref="H16:H20" si="7">F16*G16*G16/2</f>
        <v>110.46599999999999</v>
      </c>
      <c r="I16" s="126">
        <v>6.8</v>
      </c>
      <c r="J16" s="126">
        <v>6.5</v>
      </c>
      <c r="K16" s="126">
        <f t="shared" ref="K16:K20" si="8">I16*J16*J16/2</f>
        <v>143.64999999999998</v>
      </c>
      <c r="L16" s="126">
        <v>7.5</v>
      </c>
      <c r="M16" s="126">
        <v>7</v>
      </c>
      <c r="N16" s="126">
        <f t="shared" ref="N16:N20" si="9">L16*M16*M16/2</f>
        <v>183.75</v>
      </c>
      <c r="O16" s="126">
        <v>9</v>
      </c>
      <c r="P16" s="126">
        <v>7</v>
      </c>
      <c r="Q16" s="126">
        <f>O16*P16*P16/2</f>
        <v>220.5</v>
      </c>
      <c r="R16" s="126">
        <v>8.1999999999999993</v>
      </c>
      <c r="S16" s="126">
        <v>7.7</v>
      </c>
      <c r="T16" s="126">
        <f t="shared" ref="T16:T20" si="10">R16*S16*S16/2</f>
        <v>243.08899999999997</v>
      </c>
    </row>
    <row r="17" spans="1:21">
      <c r="A17" s="7"/>
      <c r="B17" s="7">
        <v>2</v>
      </c>
      <c r="C17" s="126">
        <v>6.2</v>
      </c>
      <c r="D17" s="126">
        <v>5.5</v>
      </c>
      <c r="E17" s="126">
        <f t="shared" si="6"/>
        <v>93.775000000000006</v>
      </c>
      <c r="F17" s="126">
        <v>5</v>
      </c>
      <c r="G17" s="126">
        <v>5</v>
      </c>
      <c r="H17" s="126">
        <f t="shared" si="7"/>
        <v>62.5</v>
      </c>
      <c r="I17" s="126">
        <v>6.4</v>
      </c>
      <c r="J17" s="126">
        <v>5.5</v>
      </c>
      <c r="K17" s="126">
        <f t="shared" si="8"/>
        <v>96.800000000000011</v>
      </c>
      <c r="L17" s="126">
        <v>6.9</v>
      </c>
      <c r="M17" s="126">
        <v>6.5</v>
      </c>
      <c r="N17" s="126">
        <f t="shared" si="9"/>
        <v>145.76250000000002</v>
      </c>
      <c r="O17" s="126">
        <v>7.7</v>
      </c>
      <c r="P17" s="126">
        <v>7.4</v>
      </c>
      <c r="Q17" s="126">
        <f t="shared" ref="Q17:Q20" si="11">O17*P17*P17/2</f>
        <v>210.82600000000002</v>
      </c>
      <c r="R17" s="126">
        <v>7.7</v>
      </c>
      <c r="S17" s="126">
        <v>7.5</v>
      </c>
      <c r="T17" s="126">
        <f t="shared" si="10"/>
        <v>216.5625</v>
      </c>
    </row>
    <row r="18" spans="1:21">
      <c r="A18" s="7"/>
      <c r="B18" s="7">
        <v>3</v>
      </c>
      <c r="C18" s="126">
        <v>6.8</v>
      </c>
      <c r="D18" s="126">
        <v>6.8</v>
      </c>
      <c r="E18" s="126">
        <f t="shared" si="6"/>
        <v>157.21599999999998</v>
      </c>
      <c r="F18" s="126">
        <v>6</v>
      </c>
      <c r="G18" s="126">
        <v>6</v>
      </c>
      <c r="H18" s="126">
        <f t="shared" si="7"/>
        <v>108</v>
      </c>
      <c r="I18" s="126">
        <v>6.7</v>
      </c>
      <c r="J18" s="126">
        <v>6.3</v>
      </c>
      <c r="K18" s="126">
        <f t="shared" si="8"/>
        <v>132.9615</v>
      </c>
      <c r="L18" s="126">
        <v>7.8</v>
      </c>
      <c r="M18" s="126">
        <v>7.5</v>
      </c>
      <c r="N18" s="126">
        <f t="shared" si="9"/>
        <v>219.375</v>
      </c>
      <c r="O18" s="126">
        <v>8.1</v>
      </c>
      <c r="P18" s="126">
        <v>7</v>
      </c>
      <c r="Q18" s="126">
        <f t="shared" si="11"/>
        <v>198.45</v>
      </c>
      <c r="R18" s="126">
        <v>8</v>
      </c>
      <c r="S18" s="126">
        <v>7.3</v>
      </c>
      <c r="T18" s="126">
        <f t="shared" si="10"/>
        <v>213.16</v>
      </c>
    </row>
    <row r="19" spans="1:21">
      <c r="A19" s="7"/>
      <c r="B19" s="7">
        <v>4</v>
      </c>
      <c r="C19" s="126">
        <v>7</v>
      </c>
      <c r="D19" s="126">
        <v>6.4</v>
      </c>
      <c r="E19" s="126">
        <f t="shared" si="6"/>
        <v>143.36000000000001</v>
      </c>
      <c r="F19" s="126">
        <v>6.3</v>
      </c>
      <c r="G19" s="126">
        <v>6</v>
      </c>
      <c r="H19" s="126">
        <f t="shared" si="7"/>
        <v>113.39999999999999</v>
      </c>
      <c r="I19" s="126">
        <v>6.4</v>
      </c>
      <c r="J19" s="126">
        <v>6.1</v>
      </c>
      <c r="K19" s="126">
        <f t="shared" si="8"/>
        <v>119.07199999999999</v>
      </c>
      <c r="L19" s="126">
        <v>6.8</v>
      </c>
      <c r="M19" s="126">
        <v>6</v>
      </c>
      <c r="N19" s="126">
        <f t="shared" si="9"/>
        <v>122.39999999999999</v>
      </c>
      <c r="O19" s="126">
        <v>7.7</v>
      </c>
      <c r="P19" s="126">
        <v>7</v>
      </c>
      <c r="Q19" s="126">
        <f t="shared" si="11"/>
        <v>188.65</v>
      </c>
      <c r="R19" s="126">
        <v>7.4</v>
      </c>
      <c r="S19" s="126">
        <v>5.5</v>
      </c>
      <c r="T19" s="126">
        <f t="shared" si="10"/>
        <v>111.92500000000001</v>
      </c>
    </row>
    <row r="20" spans="1:21">
      <c r="A20" s="7"/>
      <c r="B20" s="7">
        <v>5</v>
      </c>
      <c r="C20" s="126">
        <v>8.4</v>
      </c>
      <c r="D20" s="126">
        <v>7</v>
      </c>
      <c r="E20" s="126">
        <f t="shared" si="6"/>
        <v>205.8</v>
      </c>
      <c r="F20" s="126">
        <v>10.6</v>
      </c>
      <c r="G20" s="126">
        <v>8.9</v>
      </c>
      <c r="H20" s="126">
        <f t="shared" si="7"/>
        <v>419.81300000000005</v>
      </c>
      <c r="I20" s="126">
        <v>8.8000000000000007</v>
      </c>
      <c r="J20" s="126">
        <v>8.6</v>
      </c>
      <c r="K20" s="126">
        <f t="shared" si="8"/>
        <v>325.42400000000004</v>
      </c>
      <c r="L20" s="126">
        <v>8.1999999999999993</v>
      </c>
      <c r="M20" s="126">
        <v>8.6999999999999993</v>
      </c>
      <c r="N20" s="126">
        <f t="shared" si="9"/>
        <v>310.32899999999995</v>
      </c>
      <c r="O20" s="126">
        <v>7.8</v>
      </c>
      <c r="P20" s="126">
        <v>6.8</v>
      </c>
      <c r="Q20" s="126">
        <f t="shared" si="11"/>
        <v>180.33599999999998</v>
      </c>
      <c r="R20" s="126">
        <v>8.5</v>
      </c>
      <c r="S20" s="126">
        <v>7.9</v>
      </c>
      <c r="T20" s="126">
        <f t="shared" si="10"/>
        <v>265.24250000000001</v>
      </c>
    </row>
    <row r="21" spans="1:21">
      <c r="A21" s="7"/>
      <c r="B21" s="7" t="s">
        <v>508</v>
      </c>
      <c r="C21" s="126"/>
      <c r="D21" s="126"/>
      <c r="E21" s="126">
        <f>AVERAGE(E16:E20)</f>
        <v>150.02770000000001</v>
      </c>
      <c r="F21" s="126"/>
      <c r="G21" s="126"/>
      <c r="H21" s="126">
        <f>AVERAGE(H16:H20)</f>
        <v>162.83580000000001</v>
      </c>
      <c r="I21" s="126"/>
      <c r="J21" s="126"/>
      <c r="K21" s="126">
        <f>AVERAGE(K16:K20)</f>
        <v>163.58150000000001</v>
      </c>
      <c r="L21" s="126"/>
      <c r="M21" s="126"/>
      <c r="N21" s="126">
        <f>AVERAGE(N16:N20)</f>
        <v>196.32329999999999</v>
      </c>
      <c r="O21" s="126"/>
      <c r="P21" s="126"/>
      <c r="Q21" s="126">
        <f>AVERAGE(Q16:Q20)</f>
        <v>199.75240000000002</v>
      </c>
      <c r="R21" s="126"/>
      <c r="S21" s="126"/>
      <c r="T21" s="126">
        <f>AVERAGE(T16:T20)</f>
        <v>209.9958</v>
      </c>
    </row>
    <row r="22" spans="1:21">
      <c r="A22" s="7"/>
      <c r="B22" s="7" t="s">
        <v>517</v>
      </c>
      <c r="C22" s="126"/>
      <c r="D22" s="126"/>
      <c r="E22" s="126">
        <f>STDEV(E16:E20)</f>
        <v>39.909419943166228</v>
      </c>
      <c r="F22" s="126"/>
      <c r="G22" s="126"/>
      <c r="H22" s="126">
        <f>STDEV(H16:H20)</f>
        <v>145.17060077439925</v>
      </c>
      <c r="I22" s="126"/>
      <c r="J22" s="126"/>
      <c r="K22" s="126">
        <f>STDEV(K16:K20)</f>
        <v>92.153008945720302</v>
      </c>
      <c r="L22" s="126"/>
      <c r="M22" s="126"/>
      <c r="N22" s="126">
        <f>STDEV(N16:N20)</f>
        <v>73.667864699949035</v>
      </c>
      <c r="O22" s="126"/>
      <c r="P22" s="126"/>
      <c r="Q22" s="126">
        <f>STDEV(Q16:Q20)</f>
        <v>16.240717681186389</v>
      </c>
      <c r="R22" s="126"/>
      <c r="S22" s="126"/>
      <c r="T22" s="126">
        <f>STDEV(T16:T20)</f>
        <v>58.775788532141391</v>
      </c>
    </row>
    <row r="25" spans="1:21">
      <c r="C25" s="128" t="s">
        <v>518</v>
      </c>
      <c r="F25" s="128" t="s">
        <v>519</v>
      </c>
      <c r="I25" s="128" t="s">
        <v>520</v>
      </c>
      <c r="L25" s="128" t="s">
        <v>521</v>
      </c>
      <c r="O25" s="128" t="s">
        <v>522</v>
      </c>
      <c r="R25" s="128" t="s">
        <v>523</v>
      </c>
    </row>
    <row r="26" spans="1:21">
      <c r="A26" s="7"/>
      <c r="B26" s="7" t="s">
        <v>504</v>
      </c>
      <c r="C26" s="127" t="s">
        <v>0</v>
      </c>
      <c r="D26" s="127" t="s">
        <v>505</v>
      </c>
      <c r="E26" s="127" t="s">
        <v>506</v>
      </c>
      <c r="F26" s="127" t="s">
        <v>0</v>
      </c>
      <c r="G26" s="127" t="s">
        <v>505</v>
      </c>
      <c r="H26" s="127" t="s">
        <v>506</v>
      </c>
      <c r="I26" s="127" t="s">
        <v>0</v>
      </c>
      <c r="J26" s="127" t="s">
        <v>505</v>
      </c>
      <c r="K26" s="127" t="s">
        <v>506</v>
      </c>
      <c r="L26" s="127" t="s">
        <v>0</v>
      </c>
      <c r="M26" s="127" t="s">
        <v>505</v>
      </c>
      <c r="N26" s="127" t="s">
        <v>506</v>
      </c>
      <c r="O26" s="127" t="s">
        <v>0</v>
      </c>
      <c r="P26" s="127" t="s">
        <v>505</v>
      </c>
      <c r="Q26" s="127" t="s">
        <v>506</v>
      </c>
      <c r="R26" s="127" t="s">
        <v>0</v>
      </c>
      <c r="S26" s="127" t="s">
        <v>505</v>
      </c>
      <c r="T26" s="127" t="s">
        <v>506</v>
      </c>
      <c r="U26" s="127"/>
    </row>
    <row r="27" spans="1:21">
      <c r="A27" s="7" t="s">
        <v>524</v>
      </c>
      <c r="B27" s="7">
        <v>1</v>
      </c>
      <c r="C27" s="126">
        <v>5.7</v>
      </c>
      <c r="D27" s="126">
        <v>5.3</v>
      </c>
      <c r="E27" s="126">
        <f t="shared" ref="E27:E31" si="12">C27*D27*D27/2</f>
        <v>80.0565</v>
      </c>
      <c r="F27" s="126">
        <v>5.9</v>
      </c>
      <c r="G27" s="126">
        <v>5.9</v>
      </c>
      <c r="H27" s="126">
        <f t="shared" ref="H27:H31" si="13">F27*G27*G27/2</f>
        <v>102.68950000000001</v>
      </c>
      <c r="I27" s="126">
        <v>6.5</v>
      </c>
      <c r="J27" s="126">
        <v>6.3</v>
      </c>
      <c r="K27" s="126">
        <f t="shared" ref="K27:K31" si="14">I27*J27*J27/2</f>
        <v>128.99249999999998</v>
      </c>
      <c r="L27" s="126">
        <v>7.1</v>
      </c>
      <c r="M27" s="126">
        <v>6.7</v>
      </c>
      <c r="N27" s="126">
        <f t="shared" ref="N27:N31" si="15">L27*M27*M27/2</f>
        <v>159.3595</v>
      </c>
      <c r="O27" s="126">
        <v>6</v>
      </c>
      <c r="P27" s="126">
        <v>6</v>
      </c>
      <c r="Q27" s="126">
        <f t="shared" ref="Q27:Q31" si="16">O27*P27*P27/2</f>
        <v>108</v>
      </c>
      <c r="R27" s="126">
        <v>7.7</v>
      </c>
      <c r="S27" s="126">
        <v>7.5</v>
      </c>
      <c r="T27" s="126">
        <f t="shared" ref="T27:T31" si="17">R27*S27*S27/2</f>
        <v>216.5625</v>
      </c>
    </row>
    <row r="28" spans="1:21">
      <c r="A28" s="7"/>
      <c r="B28" s="7">
        <v>2</v>
      </c>
      <c r="C28" s="126">
        <v>6</v>
      </c>
      <c r="D28" s="126">
        <v>5.7</v>
      </c>
      <c r="E28" s="126">
        <f t="shared" si="12"/>
        <v>97.470000000000013</v>
      </c>
      <c r="F28" s="126">
        <v>6.5</v>
      </c>
      <c r="G28" s="126">
        <v>6.3</v>
      </c>
      <c r="H28" s="126">
        <f t="shared" si="13"/>
        <v>128.99249999999998</v>
      </c>
      <c r="I28" s="126">
        <v>6.8</v>
      </c>
      <c r="J28" s="126">
        <v>6.5</v>
      </c>
      <c r="K28" s="126">
        <f t="shared" si="14"/>
        <v>143.64999999999998</v>
      </c>
      <c r="L28" s="126">
        <v>7.2</v>
      </c>
      <c r="M28" s="126">
        <v>6.9</v>
      </c>
      <c r="N28" s="126">
        <f t="shared" si="15"/>
        <v>171.39600000000004</v>
      </c>
      <c r="O28" s="126">
        <v>7.3</v>
      </c>
      <c r="P28" s="126">
        <v>6.7</v>
      </c>
      <c r="Q28" s="126">
        <f t="shared" si="16"/>
        <v>163.8485</v>
      </c>
      <c r="R28" s="126">
        <v>8.5</v>
      </c>
      <c r="S28" s="126">
        <v>7.1</v>
      </c>
      <c r="T28" s="126">
        <f t="shared" si="17"/>
        <v>214.24249999999998</v>
      </c>
    </row>
    <row r="29" spans="1:21">
      <c r="A29" s="7"/>
      <c r="B29" s="7">
        <v>3</v>
      </c>
      <c r="C29" s="126">
        <v>5.9</v>
      </c>
      <c r="D29" s="126">
        <v>5.8</v>
      </c>
      <c r="E29" s="126">
        <f t="shared" si="12"/>
        <v>99.238</v>
      </c>
      <c r="F29" s="126">
        <v>6.7</v>
      </c>
      <c r="G29" s="126">
        <v>5.6</v>
      </c>
      <c r="H29" s="126">
        <f t="shared" si="13"/>
        <v>105.05599999999998</v>
      </c>
      <c r="I29" s="126">
        <v>6.5</v>
      </c>
      <c r="J29" s="126">
        <v>5.5</v>
      </c>
      <c r="K29" s="126">
        <f t="shared" si="14"/>
        <v>98.3125</v>
      </c>
      <c r="L29" s="126">
        <v>6.9</v>
      </c>
      <c r="M29" s="126">
        <v>5.8</v>
      </c>
      <c r="N29" s="126">
        <f t="shared" si="15"/>
        <v>116.05800000000001</v>
      </c>
      <c r="O29" s="126">
        <v>7.2</v>
      </c>
      <c r="P29" s="126">
        <v>6.9</v>
      </c>
      <c r="Q29" s="126">
        <f t="shared" si="16"/>
        <v>171.39600000000004</v>
      </c>
      <c r="R29" s="126">
        <v>7.6</v>
      </c>
      <c r="S29" s="126">
        <v>7.2</v>
      </c>
      <c r="T29" s="126">
        <f t="shared" si="17"/>
        <v>196.99199999999999</v>
      </c>
    </row>
    <row r="30" spans="1:21">
      <c r="A30" s="7"/>
      <c r="B30" s="7">
        <v>4</v>
      </c>
      <c r="C30" s="126">
        <v>5.8</v>
      </c>
      <c r="D30" s="126">
        <v>5.2</v>
      </c>
      <c r="E30" s="126">
        <f t="shared" si="12"/>
        <v>78.415999999999997</v>
      </c>
      <c r="F30" s="126">
        <v>5</v>
      </c>
      <c r="G30" s="126">
        <v>5</v>
      </c>
      <c r="H30" s="126">
        <f t="shared" si="13"/>
        <v>62.5</v>
      </c>
      <c r="I30" s="126">
        <v>4</v>
      </c>
      <c r="J30" s="126">
        <v>4</v>
      </c>
      <c r="K30" s="126">
        <f t="shared" si="14"/>
        <v>32</v>
      </c>
      <c r="L30" s="126">
        <v>3</v>
      </c>
      <c r="M30" s="126">
        <v>3</v>
      </c>
      <c r="N30" s="126">
        <f t="shared" si="15"/>
        <v>13.5</v>
      </c>
      <c r="O30" s="126">
        <v>5.7</v>
      </c>
      <c r="P30" s="126">
        <v>5.4</v>
      </c>
      <c r="Q30" s="126">
        <f t="shared" si="16"/>
        <v>83.106000000000023</v>
      </c>
      <c r="R30" s="126">
        <v>7.8</v>
      </c>
      <c r="S30" s="126">
        <v>7</v>
      </c>
      <c r="T30" s="126">
        <f t="shared" si="17"/>
        <v>191.1</v>
      </c>
    </row>
    <row r="31" spans="1:21">
      <c r="A31" s="7"/>
      <c r="B31" s="7">
        <v>5</v>
      </c>
      <c r="C31" s="126">
        <v>6.7</v>
      </c>
      <c r="D31" s="126">
        <v>5.0999999999999996</v>
      </c>
      <c r="E31" s="126">
        <f t="shared" si="12"/>
        <v>87.133499999999998</v>
      </c>
      <c r="F31" s="126">
        <v>6.2</v>
      </c>
      <c r="G31" s="126">
        <v>4.7</v>
      </c>
      <c r="H31" s="126">
        <f t="shared" si="13"/>
        <v>68.478999999999999</v>
      </c>
      <c r="I31" s="126">
        <v>6.9</v>
      </c>
      <c r="J31" s="126">
        <v>5.9</v>
      </c>
      <c r="K31" s="126">
        <f t="shared" si="14"/>
        <v>120.09450000000002</v>
      </c>
      <c r="L31" s="126">
        <v>7.1</v>
      </c>
      <c r="M31" s="126">
        <v>6.2</v>
      </c>
      <c r="N31" s="126">
        <f t="shared" si="15"/>
        <v>136.46199999999999</v>
      </c>
      <c r="O31" s="126">
        <v>6.4</v>
      </c>
      <c r="P31" s="126">
        <v>5.7</v>
      </c>
      <c r="Q31" s="126">
        <f t="shared" si="16"/>
        <v>103.96800000000002</v>
      </c>
      <c r="R31" s="126">
        <v>8.1999999999999993</v>
      </c>
      <c r="S31" s="126">
        <v>6.6</v>
      </c>
      <c r="T31" s="126">
        <f t="shared" si="17"/>
        <v>178.59599999999995</v>
      </c>
    </row>
    <row r="32" spans="1:21">
      <c r="A32" s="7"/>
      <c r="B32" s="7" t="s">
        <v>508</v>
      </c>
      <c r="C32" s="126"/>
      <c r="D32" s="126"/>
      <c r="E32" s="126">
        <f>AVERAGE(E27:E31)</f>
        <v>88.462799999999987</v>
      </c>
      <c r="F32" s="126"/>
      <c r="G32" s="126"/>
      <c r="H32" s="126">
        <f>AVERAGE(H27:H31)</f>
        <v>93.543399999999991</v>
      </c>
      <c r="I32" s="126"/>
      <c r="J32" s="126"/>
      <c r="K32" s="126">
        <f>AVERAGE(K27:K31)</f>
        <v>104.6099</v>
      </c>
      <c r="L32" s="126"/>
      <c r="M32" s="126"/>
      <c r="N32" s="126">
        <f>AVERAGE(N27:N31)</f>
        <v>119.35509999999999</v>
      </c>
      <c r="O32" s="126"/>
      <c r="P32" s="126"/>
      <c r="Q32" s="126">
        <f>AVERAGE(Q27:Q31)</f>
        <v>126.06370000000001</v>
      </c>
      <c r="T32" s="126">
        <f>AVERAGE(T27:T31)</f>
        <v>199.49859999999998</v>
      </c>
    </row>
    <row r="33" spans="1:20">
      <c r="A33" s="7"/>
      <c r="B33" s="7" t="s">
        <v>509</v>
      </c>
      <c r="C33" s="126"/>
      <c r="D33" s="126"/>
      <c r="E33" s="126">
        <f>STDEV(E27:E31)</f>
        <v>9.6255609615751787</v>
      </c>
      <c r="F33" s="126"/>
      <c r="G33" s="126"/>
      <c r="H33" s="126">
        <f>STDEV(H27:H31)</f>
        <v>27.680076886182981</v>
      </c>
      <c r="I33" s="126"/>
      <c r="J33" s="126"/>
      <c r="K33" s="126">
        <f>STDEV(K27:K31)</f>
        <v>43.790033833910201</v>
      </c>
      <c r="L33" s="126"/>
      <c r="M33" s="126"/>
      <c r="N33" s="126">
        <f>STDEV(N27:N31)</f>
        <v>62.883675115645147</v>
      </c>
      <c r="O33" s="126"/>
      <c r="P33" s="126"/>
      <c r="Q33" s="126">
        <f>STDEV(Q27:Q31)</f>
        <v>39.187337686426282</v>
      </c>
      <c r="T33" s="126">
        <f>STDEV(T27:T31)</f>
        <v>15.98669355041875</v>
      </c>
    </row>
  </sheetData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opLeftCell="A20" workbookViewId="0"/>
  </sheetViews>
  <sheetFormatPr defaultRowHeight="15"/>
  <cols>
    <col min="3" max="3" width="15.5703125" customWidth="1"/>
  </cols>
  <sheetData>
    <row r="1" spans="1:10">
      <c r="A1" s="1" t="s">
        <v>667</v>
      </c>
    </row>
    <row r="3" spans="1:10" ht="18.75">
      <c r="A3" s="125" t="s">
        <v>482</v>
      </c>
      <c r="B3" s="126"/>
      <c r="C3" s="126"/>
      <c r="D3" s="126"/>
      <c r="E3" s="126"/>
      <c r="F3" s="126"/>
      <c r="G3" s="126"/>
      <c r="H3" s="126"/>
      <c r="I3" s="126"/>
      <c r="J3" s="126"/>
    </row>
    <row r="4" spans="1:10" ht="18.75">
      <c r="A4" s="125"/>
      <c r="B4" s="126"/>
      <c r="C4" s="127" t="s">
        <v>378</v>
      </c>
      <c r="D4" s="126"/>
      <c r="E4" s="126"/>
      <c r="F4" s="126"/>
      <c r="G4" s="126"/>
      <c r="H4" s="126"/>
      <c r="I4" s="126"/>
      <c r="J4" s="126"/>
    </row>
    <row r="5" spans="1:10">
      <c r="A5" s="126"/>
      <c r="B5" s="127" t="s">
        <v>459</v>
      </c>
      <c r="C5" s="127"/>
      <c r="D5" s="128" t="s">
        <v>526</v>
      </c>
      <c r="E5" s="128" t="s">
        <v>527</v>
      </c>
      <c r="F5" s="128" t="s">
        <v>460</v>
      </c>
      <c r="G5" s="128" t="s">
        <v>461</v>
      </c>
      <c r="H5" s="128" t="s">
        <v>462</v>
      </c>
      <c r="I5" s="128" t="s">
        <v>463</v>
      </c>
      <c r="J5" s="128" t="s">
        <v>464</v>
      </c>
    </row>
    <row r="6" spans="1:10">
      <c r="A6" s="126"/>
      <c r="B6" s="126"/>
      <c r="C6" s="127" t="s">
        <v>465</v>
      </c>
      <c r="D6" s="126">
        <v>20.12</v>
      </c>
      <c r="E6" s="126">
        <v>20.54</v>
      </c>
      <c r="F6" s="126">
        <v>20.48</v>
      </c>
      <c r="G6" s="126">
        <v>20.41</v>
      </c>
      <c r="H6" s="126">
        <v>20.309999999999999</v>
      </c>
      <c r="I6" s="126">
        <v>20.51</v>
      </c>
      <c r="J6" s="126">
        <v>20.440000000000001</v>
      </c>
    </row>
    <row r="7" spans="1:10">
      <c r="A7" s="126"/>
      <c r="B7" s="126"/>
      <c r="C7" s="127" t="s">
        <v>483</v>
      </c>
      <c r="D7" s="126">
        <v>19.649999999999999</v>
      </c>
      <c r="E7" s="126">
        <v>21.55</v>
      </c>
      <c r="F7" s="126">
        <v>20.97</v>
      </c>
      <c r="G7" s="126">
        <v>21.43</v>
      </c>
      <c r="H7" s="126">
        <v>20.55</v>
      </c>
      <c r="I7" s="126">
        <v>20.12</v>
      </c>
      <c r="J7" s="126">
        <v>21.12</v>
      </c>
    </row>
    <row r="8" spans="1:10">
      <c r="A8" s="126"/>
      <c r="B8" s="126"/>
      <c r="C8" s="127" t="s">
        <v>484</v>
      </c>
      <c r="D8" s="126">
        <v>20.11</v>
      </c>
      <c r="E8" s="126">
        <v>21.95</v>
      </c>
      <c r="F8" s="126">
        <v>21.11</v>
      </c>
      <c r="G8" s="126">
        <v>21.59</v>
      </c>
      <c r="H8" s="126">
        <v>21.12</v>
      </c>
      <c r="I8" s="126">
        <v>20.61</v>
      </c>
      <c r="J8" s="126">
        <v>21.43</v>
      </c>
    </row>
    <row r="9" spans="1:10">
      <c r="A9" s="126"/>
      <c r="B9" s="126"/>
      <c r="C9" s="127" t="s">
        <v>485</v>
      </c>
      <c r="D9" s="126">
        <v>21.54</v>
      </c>
      <c r="E9" s="126">
        <v>21.64</v>
      </c>
      <c r="F9" s="126">
        <v>21.59</v>
      </c>
      <c r="G9" s="126">
        <v>21.97</v>
      </c>
      <c r="H9" s="126">
        <v>21.51</v>
      </c>
      <c r="I9" s="126">
        <v>21.11</v>
      </c>
      <c r="J9" s="126">
        <v>21.67</v>
      </c>
    </row>
    <row r="10" spans="1:10">
      <c r="A10" s="126"/>
      <c r="B10" s="126"/>
      <c r="C10" s="127" t="s">
        <v>486</v>
      </c>
      <c r="D10" s="126">
        <v>21.79</v>
      </c>
      <c r="E10" s="126">
        <v>22.19</v>
      </c>
      <c r="F10" s="126">
        <v>22.23</v>
      </c>
      <c r="G10" s="126">
        <v>22.41</v>
      </c>
      <c r="H10" s="126">
        <v>21.4</v>
      </c>
      <c r="I10" s="126">
        <v>21.58</v>
      </c>
      <c r="J10" s="126">
        <v>22.43</v>
      </c>
    </row>
    <row r="11" spans="1:10">
      <c r="A11" s="126"/>
      <c r="B11" s="126"/>
      <c r="C11" s="127" t="s">
        <v>466</v>
      </c>
      <c r="D11" s="126">
        <f t="shared" ref="D11:J11" si="0">AVERAGE(D6:D10)</f>
        <v>20.641999999999996</v>
      </c>
      <c r="E11" s="126">
        <f t="shared" si="0"/>
        <v>21.574000000000002</v>
      </c>
      <c r="F11" s="126">
        <f t="shared" si="0"/>
        <v>21.276000000000003</v>
      </c>
      <c r="G11" s="126">
        <f t="shared" si="0"/>
        <v>21.562000000000001</v>
      </c>
      <c r="H11" s="126">
        <f t="shared" si="0"/>
        <v>20.978000000000002</v>
      </c>
      <c r="I11" s="126">
        <f t="shared" si="0"/>
        <v>20.785999999999998</v>
      </c>
      <c r="J11" s="126">
        <f t="shared" si="0"/>
        <v>21.417999999999999</v>
      </c>
    </row>
    <row r="12" spans="1:10">
      <c r="A12" s="126"/>
      <c r="B12" s="126"/>
      <c r="C12" s="127" t="s">
        <v>467</v>
      </c>
      <c r="D12" s="126">
        <f t="shared" ref="D12:J12" si="1">STDEV(D6:D10)</f>
        <v>0.95706321630287294</v>
      </c>
      <c r="E12" s="126">
        <f t="shared" si="1"/>
        <v>0.63145071066552827</v>
      </c>
      <c r="F12" s="126">
        <f t="shared" si="1"/>
        <v>0.66398795169792058</v>
      </c>
      <c r="G12" s="126">
        <f t="shared" si="1"/>
        <v>0.74680653451881351</v>
      </c>
      <c r="H12" s="126">
        <f t="shared" si="1"/>
        <v>0.5269440197971702</v>
      </c>
      <c r="I12" s="126">
        <f t="shared" si="1"/>
        <v>0.56703615405016172</v>
      </c>
      <c r="J12" s="126">
        <f t="shared" si="1"/>
        <v>0.73025338068371803</v>
      </c>
    </row>
    <row r="13" spans="1:10" ht="18.75">
      <c r="A13" s="125"/>
      <c r="B13" s="126"/>
      <c r="C13" s="126"/>
      <c r="D13" s="126"/>
      <c r="E13" s="126"/>
      <c r="F13" s="126"/>
      <c r="G13" s="126"/>
      <c r="H13" s="126"/>
      <c r="I13" s="126"/>
      <c r="J13" s="126"/>
    </row>
    <row r="14" spans="1:10" ht="18.75">
      <c r="A14" s="125"/>
      <c r="B14" s="126"/>
      <c r="C14" s="127" t="s">
        <v>468</v>
      </c>
      <c r="D14" s="126"/>
      <c r="E14" s="126"/>
      <c r="F14" s="126"/>
      <c r="G14" s="126"/>
      <c r="H14" s="126"/>
      <c r="I14" s="126"/>
      <c r="J14" s="126"/>
    </row>
    <row r="15" spans="1:10">
      <c r="A15" s="126"/>
      <c r="B15" s="127" t="s">
        <v>469</v>
      </c>
      <c r="C15" s="127"/>
      <c r="D15" s="128" t="s">
        <v>526</v>
      </c>
      <c r="E15" s="128" t="s">
        <v>527</v>
      </c>
      <c r="F15" s="128" t="s">
        <v>460</v>
      </c>
      <c r="G15" s="128" t="s">
        <v>461</v>
      </c>
      <c r="H15" s="128" t="s">
        <v>462</v>
      </c>
      <c r="I15" s="128" t="s">
        <v>463</v>
      </c>
      <c r="J15" s="128" t="s">
        <v>464</v>
      </c>
    </row>
    <row r="16" spans="1:10">
      <c r="A16" s="126"/>
      <c r="B16" s="126"/>
      <c r="C16" s="127" t="s">
        <v>487</v>
      </c>
      <c r="D16" s="126">
        <v>20.399999999999999</v>
      </c>
      <c r="E16" s="126">
        <v>21.1</v>
      </c>
      <c r="F16" s="126">
        <v>21.2</v>
      </c>
      <c r="G16" s="126">
        <v>20.8</v>
      </c>
      <c r="H16" s="126">
        <v>21.2</v>
      </c>
      <c r="I16" s="126">
        <v>21.4</v>
      </c>
      <c r="J16" s="126">
        <v>21.2</v>
      </c>
    </row>
    <row r="17" spans="1:10">
      <c r="A17" s="126"/>
      <c r="B17" s="126"/>
      <c r="C17" s="127" t="s">
        <v>483</v>
      </c>
      <c r="D17" s="126">
        <v>21</v>
      </c>
      <c r="E17" s="126">
        <v>20.5</v>
      </c>
      <c r="F17" s="126">
        <v>21.1</v>
      </c>
      <c r="G17" s="126">
        <v>20.8</v>
      </c>
      <c r="H17" s="126">
        <v>21.5</v>
      </c>
      <c r="I17" s="126">
        <v>21.8</v>
      </c>
      <c r="J17" s="126">
        <v>21.6</v>
      </c>
    </row>
    <row r="18" spans="1:10">
      <c r="A18" s="126"/>
      <c r="B18" s="126"/>
      <c r="C18" s="127" t="s">
        <v>484</v>
      </c>
      <c r="D18" s="126">
        <v>19.7</v>
      </c>
      <c r="E18" s="126">
        <v>20.399999999999999</v>
      </c>
      <c r="F18" s="126">
        <v>20.6</v>
      </c>
      <c r="G18" s="126">
        <v>19.600000000000001</v>
      </c>
      <c r="H18" s="126">
        <v>20.8</v>
      </c>
      <c r="I18" s="126">
        <v>21.3</v>
      </c>
      <c r="J18" s="126">
        <v>20.5</v>
      </c>
    </row>
    <row r="19" spans="1:10">
      <c r="A19" s="126"/>
      <c r="B19" s="126"/>
      <c r="C19" s="127" t="s">
        <v>485</v>
      </c>
      <c r="D19" s="126">
        <v>19.600000000000001</v>
      </c>
      <c r="E19" s="126">
        <v>19</v>
      </c>
      <c r="F19" s="126">
        <v>20.2</v>
      </c>
      <c r="G19" s="126">
        <v>19.399999999999999</v>
      </c>
      <c r="H19" s="126">
        <v>20</v>
      </c>
      <c r="I19" s="126">
        <v>20</v>
      </c>
      <c r="J19" s="126">
        <v>19.7</v>
      </c>
    </row>
    <row r="20" spans="1:10">
      <c r="A20" s="126"/>
      <c r="B20" s="126"/>
      <c r="C20" s="127" t="s">
        <v>486</v>
      </c>
      <c r="D20" s="126">
        <v>18.3</v>
      </c>
      <c r="E20" s="126">
        <v>18.2</v>
      </c>
      <c r="F20" s="126">
        <v>18.3</v>
      </c>
      <c r="G20" s="126">
        <v>18.3</v>
      </c>
      <c r="H20" s="126">
        <v>18.899999999999999</v>
      </c>
      <c r="I20" s="126">
        <v>19.100000000000001</v>
      </c>
      <c r="J20" s="126">
        <v>18.899999999999999</v>
      </c>
    </row>
    <row r="21" spans="1:10">
      <c r="A21" s="126"/>
      <c r="B21" s="126"/>
      <c r="C21" s="127" t="s">
        <v>466</v>
      </c>
      <c r="D21" s="126">
        <f t="shared" ref="D21:J21" si="2">AVERAGE(D16:D20)</f>
        <v>19.799999999999997</v>
      </c>
      <c r="E21" s="126">
        <f t="shared" si="2"/>
        <v>19.84</v>
      </c>
      <c r="F21" s="126">
        <f t="shared" si="2"/>
        <v>20.279999999999998</v>
      </c>
      <c r="G21" s="126">
        <f t="shared" si="2"/>
        <v>19.779999999999998</v>
      </c>
      <c r="H21" s="126">
        <f t="shared" si="2"/>
        <v>20.48</v>
      </c>
      <c r="I21" s="126">
        <f t="shared" si="2"/>
        <v>20.72</v>
      </c>
      <c r="J21" s="126">
        <f t="shared" si="2"/>
        <v>20.380000000000003</v>
      </c>
    </row>
    <row r="22" spans="1:10">
      <c r="A22" s="126"/>
      <c r="B22" s="126"/>
      <c r="C22" s="127" t="s">
        <v>467</v>
      </c>
      <c r="D22" s="126">
        <f t="shared" ref="D22:J22" si="3">STDEV(D16:D20)</f>
        <v>1.0124228365658288</v>
      </c>
      <c r="E22" s="126">
        <f t="shared" si="3"/>
        <v>1.197079780131634</v>
      </c>
      <c r="F22" s="126">
        <f t="shared" si="3"/>
        <v>1.1777096416349828</v>
      </c>
      <c r="G22" s="126">
        <f t="shared" si="3"/>
        <v>1.0545141061171255</v>
      </c>
      <c r="H22" s="126">
        <f t="shared" si="3"/>
        <v>1.0473776778220933</v>
      </c>
      <c r="I22" s="126">
        <f t="shared" si="3"/>
        <v>1.1300442469213312</v>
      </c>
      <c r="J22" s="126">
        <f t="shared" si="3"/>
        <v>1.0986355173577824</v>
      </c>
    </row>
    <row r="23" spans="1:10">
      <c r="A23" s="126"/>
      <c r="B23" s="126"/>
      <c r="C23" s="126"/>
      <c r="D23" s="126"/>
      <c r="E23" s="126"/>
      <c r="F23" s="126"/>
      <c r="G23" s="126"/>
      <c r="H23" s="126"/>
      <c r="I23" s="126"/>
      <c r="J23" s="126"/>
    </row>
    <row r="24" spans="1:10">
      <c r="A24" s="126"/>
      <c r="B24" s="127" t="s">
        <v>459</v>
      </c>
      <c r="D24" s="128" t="s">
        <v>464</v>
      </c>
      <c r="E24" s="128" t="s">
        <v>470</v>
      </c>
      <c r="F24" s="128" t="s">
        <v>471</v>
      </c>
      <c r="G24" s="128" t="s">
        <v>472</v>
      </c>
      <c r="H24" s="128" t="s">
        <v>473</v>
      </c>
      <c r="I24" s="128" t="s">
        <v>474</v>
      </c>
      <c r="J24" s="128" t="s">
        <v>475</v>
      </c>
    </row>
    <row r="25" spans="1:10">
      <c r="A25" s="126"/>
      <c r="B25" s="126"/>
      <c r="C25" s="127" t="s">
        <v>488</v>
      </c>
      <c r="D25" s="129">
        <v>19.53</v>
      </c>
      <c r="E25" s="129">
        <v>20.12</v>
      </c>
      <c r="F25" s="129">
        <v>18.22</v>
      </c>
      <c r="G25" s="129">
        <v>18.23</v>
      </c>
      <c r="H25" s="129">
        <v>18.309999999999999</v>
      </c>
      <c r="I25" s="129">
        <v>18.34</v>
      </c>
      <c r="J25" s="129">
        <v>18.54</v>
      </c>
    </row>
    <row r="26" spans="1:10">
      <c r="A26" s="126"/>
      <c r="B26" s="126"/>
      <c r="C26" s="127" t="s">
        <v>483</v>
      </c>
      <c r="D26" s="2">
        <v>19.8</v>
      </c>
      <c r="E26" s="2">
        <v>18.399999999999999</v>
      </c>
      <c r="F26" s="2">
        <v>18.2</v>
      </c>
      <c r="G26" s="2">
        <v>18.7</v>
      </c>
      <c r="H26" s="2">
        <v>18.600000000000001</v>
      </c>
      <c r="I26" s="2">
        <v>18.600000000000001</v>
      </c>
      <c r="J26" s="2">
        <v>19.600000000000001</v>
      </c>
    </row>
    <row r="27" spans="1:10">
      <c r="A27" s="126"/>
      <c r="B27" s="126"/>
      <c r="C27" s="127" t="s">
        <v>484</v>
      </c>
      <c r="D27" s="126">
        <v>18.5</v>
      </c>
      <c r="E27" s="126">
        <v>18.600000000000001</v>
      </c>
      <c r="F27" s="126">
        <v>18.899999999999999</v>
      </c>
      <c r="G27" s="126">
        <v>18.600000000000001</v>
      </c>
      <c r="H27" s="126">
        <v>18.5</v>
      </c>
      <c r="I27" s="126">
        <v>18.399999999999999</v>
      </c>
      <c r="J27" s="126">
        <v>19.100000000000001</v>
      </c>
    </row>
    <row r="28" spans="1:10">
      <c r="A28" s="126"/>
      <c r="B28" s="126"/>
      <c r="C28" s="127" t="s">
        <v>485</v>
      </c>
      <c r="D28" s="126">
        <v>20</v>
      </c>
      <c r="E28" s="126">
        <v>19.399999999999999</v>
      </c>
      <c r="F28" s="126">
        <v>19.100000000000001</v>
      </c>
      <c r="G28" s="126">
        <v>20</v>
      </c>
      <c r="H28" s="126">
        <v>20</v>
      </c>
      <c r="I28" s="126">
        <v>20</v>
      </c>
      <c r="J28" s="126">
        <v>19</v>
      </c>
    </row>
    <row r="29" spans="1:10">
      <c r="A29" s="126"/>
      <c r="B29" s="126"/>
      <c r="C29" s="127" t="s">
        <v>486</v>
      </c>
      <c r="D29" s="126">
        <v>18.8</v>
      </c>
      <c r="E29" s="126">
        <v>18.100000000000001</v>
      </c>
      <c r="F29" s="126">
        <v>18.7</v>
      </c>
      <c r="G29" s="126">
        <v>19.399999999999999</v>
      </c>
      <c r="H29" s="126">
        <v>19.8</v>
      </c>
      <c r="I29" s="126">
        <v>20.100000000000001</v>
      </c>
      <c r="J29" s="126">
        <v>17.899999999999999</v>
      </c>
    </row>
    <row r="30" spans="1:10">
      <c r="A30" s="126"/>
      <c r="B30" s="126"/>
      <c r="C30" s="127" t="s">
        <v>466</v>
      </c>
      <c r="D30" s="126">
        <f t="shared" ref="D30:J30" si="4">AVERAGE(D24:D29)</f>
        <v>19.326000000000001</v>
      </c>
      <c r="E30" s="126">
        <f t="shared" si="4"/>
        <v>18.923999999999999</v>
      </c>
      <c r="F30" s="126">
        <f t="shared" si="4"/>
        <v>18.624000000000002</v>
      </c>
      <c r="G30" s="126">
        <f t="shared" si="4"/>
        <v>18.986000000000001</v>
      </c>
      <c r="H30" s="126">
        <f t="shared" si="4"/>
        <v>19.041999999999998</v>
      </c>
      <c r="I30" s="126">
        <f t="shared" si="4"/>
        <v>19.088000000000001</v>
      </c>
      <c r="J30" s="126">
        <f t="shared" si="4"/>
        <v>18.828000000000003</v>
      </c>
    </row>
    <row r="31" spans="1:10">
      <c r="A31" s="126"/>
      <c r="B31" s="126"/>
      <c r="C31" s="127" t="s">
        <v>467</v>
      </c>
      <c r="D31" s="126">
        <f t="shared" ref="D31:J31" si="5">STDEV(D24:D29)</f>
        <v>0.64798148121686328</v>
      </c>
      <c r="E31" s="126">
        <f t="shared" si="5"/>
        <v>0.82394174551360122</v>
      </c>
      <c r="F31" s="126">
        <f t="shared" si="5"/>
        <v>0.40358394418014265</v>
      </c>
      <c r="G31" s="126">
        <f t="shared" si="5"/>
        <v>0.70744611102189214</v>
      </c>
      <c r="H31" s="126">
        <f t="shared" si="5"/>
        <v>0.79329691793174162</v>
      </c>
      <c r="I31" s="126">
        <f t="shared" si="5"/>
        <v>0.88414930865776331</v>
      </c>
      <c r="J31" s="126">
        <f t="shared" si="5"/>
        <v>0.64103042049500392</v>
      </c>
    </row>
    <row r="32" spans="1:10">
      <c r="A32" s="126"/>
      <c r="B32" s="126"/>
      <c r="C32" s="126"/>
      <c r="D32" s="126"/>
      <c r="E32" s="126"/>
      <c r="F32" s="126"/>
      <c r="G32" s="126"/>
      <c r="H32" s="126"/>
      <c r="I32" s="126"/>
      <c r="J32" s="126"/>
    </row>
    <row r="33" spans="1:10">
      <c r="A33" s="126"/>
      <c r="B33" s="127" t="s">
        <v>459</v>
      </c>
      <c r="D33" s="128" t="s">
        <v>475</v>
      </c>
      <c r="E33" s="128" t="s">
        <v>476</v>
      </c>
      <c r="F33" s="128" t="s">
        <v>477</v>
      </c>
      <c r="G33" s="128" t="s">
        <v>478</v>
      </c>
      <c r="H33" s="128" t="s">
        <v>479</v>
      </c>
      <c r="I33" s="128" t="s">
        <v>480</v>
      </c>
      <c r="J33" s="128" t="s">
        <v>481</v>
      </c>
    </row>
    <row r="34" spans="1:10">
      <c r="A34" s="126"/>
      <c r="B34" s="126"/>
      <c r="C34" s="127" t="s">
        <v>489</v>
      </c>
      <c r="D34" s="126">
        <v>18.899999999999999</v>
      </c>
      <c r="E34" s="126">
        <v>18.5</v>
      </c>
      <c r="F34" s="126">
        <v>18.5</v>
      </c>
      <c r="G34" s="126">
        <v>18.600000000000001</v>
      </c>
      <c r="H34" s="126">
        <v>18.600000000000001</v>
      </c>
      <c r="I34" s="126">
        <v>18.7</v>
      </c>
      <c r="J34" s="126">
        <v>18.100000000000001</v>
      </c>
    </row>
    <row r="35" spans="1:10">
      <c r="A35" s="126"/>
      <c r="B35" s="126"/>
      <c r="C35" s="127" t="s">
        <v>483</v>
      </c>
      <c r="D35" s="126">
        <v>19.8</v>
      </c>
      <c r="E35" s="126">
        <v>19.3</v>
      </c>
      <c r="F35" s="126">
        <v>19.600000000000001</v>
      </c>
      <c r="G35" s="126">
        <v>19.600000000000001</v>
      </c>
      <c r="H35" s="126">
        <v>19.5</v>
      </c>
      <c r="I35" s="126">
        <v>19.8</v>
      </c>
      <c r="J35" s="126">
        <v>19.7</v>
      </c>
    </row>
    <row r="36" spans="1:10">
      <c r="A36" s="126"/>
      <c r="B36" s="126"/>
      <c r="C36" s="127" t="s">
        <v>484</v>
      </c>
      <c r="D36" s="126">
        <v>19.8</v>
      </c>
      <c r="E36" s="126">
        <v>18.600000000000001</v>
      </c>
      <c r="F36" s="126">
        <v>18.899999999999999</v>
      </c>
      <c r="G36" s="126">
        <v>19.2</v>
      </c>
      <c r="H36" s="126">
        <v>19.8</v>
      </c>
      <c r="I36" s="126">
        <v>19.899999999999999</v>
      </c>
      <c r="J36" s="126">
        <v>20</v>
      </c>
    </row>
    <row r="37" spans="1:10">
      <c r="A37" s="126"/>
      <c r="B37" s="126"/>
      <c r="C37" s="127" t="s">
        <v>485</v>
      </c>
      <c r="D37" s="126">
        <v>19.2</v>
      </c>
      <c r="E37" s="126">
        <v>18</v>
      </c>
      <c r="F37" s="126">
        <v>18.5</v>
      </c>
      <c r="G37" s="126">
        <v>18.8</v>
      </c>
      <c r="H37" s="126">
        <v>18.899999999999999</v>
      </c>
      <c r="I37" s="126">
        <v>18.899999999999999</v>
      </c>
      <c r="J37" s="126">
        <v>19.5</v>
      </c>
    </row>
    <row r="38" spans="1:10">
      <c r="A38" s="126"/>
      <c r="B38" s="126"/>
      <c r="C38" s="127" t="s">
        <v>486</v>
      </c>
      <c r="D38" s="126">
        <v>19.7</v>
      </c>
      <c r="E38" s="126">
        <v>18.600000000000001</v>
      </c>
      <c r="F38" s="126">
        <v>18.399999999999999</v>
      </c>
      <c r="G38" s="126">
        <v>18.3</v>
      </c>
      <c r="H38" s="126">
        <v>19.3</v>
      </c>
      <c r="I38" s="126">
        <v>19.3</v>
      </c>
      <c r="J38" s="126">
        <v>18.100000000000001</v>
      </c>
    </row>
    <row r="39" spans="1:10">
      <c r="A39" s="126"/>
      <c r="B39" s="126"/>
      <c r="C39" s="127" t="s">
        <v>466</v>
      </c>
      <c r="D39" s="126">
        <f t="shared" ref="D39:J39" si="6">AVERAGE(D34:D38)</f>
        <v>19.48</v>
      </c>
      <c r="E39" s="126">
        <f t="shared" si="6"/>
        <v>18.600000000000001</v>
      </c>
      <c r="F39" s="126">
        <f t="shared" si="6"/>
        <v>18.78</v>
      </c>
      <c r="G39" s="126">
        <f t="shared" si="6"/>
        <v>18.899999999999999</v>
      </c>
      <c r="H39" s="126">
        <f t="shared" si="6"/>
        <v>19.220000000000002</v>
      </c>
      <c r="I39" s="126">
        <f t="shared" si="6"/>
        <v>19.32</v>
      </c>
      <c r="J39" s="126">
        <f t="shared" si="6"/>
        <v>19.080000000000002</v>
      </c>
    </row>
    <row r="40" spans="1:10">
      <c r="A40" s="126"/>
      <c r="B40" s="126"/>
      <c r="C40" s="127" t="s">
        <v>467</v>
      </c>
      <c r="D40" s="126">
        <f t="shared" ref="D40:J40" si="7">STDEV(D34:D38)</f>
        <v>0.40865633483405178</v>
      </c>
      <c r="E40" s="126">
        <f t="shared" si="7"/>
        <v>0.46368092477478545</v>
      </c>
      <c r="F40" s="126">
        <f t="shared" si="7"/>
        <v>0.49699094559156787</v>
      </c>
      <c r="G40" s="126">
        <f t="shared" si="7"/>
        <v>0.5099019513592784</v>
      </c>
      <c r="H40" s="126">
        <f t="shared" si="7"/>
        <v>0.47644516998286385</v>
      </c>
      <c r="I40" s="126">
        <f t="shared" si="7"/>
        <v>0.53103672189407036</v>
      </c>
      <c r="J40" s="126">
        <f t="shared" si="7"/>
        <v>0.91214034007930944</v>
      </c>
    </row>
  </sheetData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6"/>
  <sheetViews>
    <sheetView topLeftCell="A7" workbookViewId="0">
      <selection activeCell="A14" sqref="A1:A14"/>
    </sheetView>
  </sheetViews>
  <sheetFormatPr defaultRowHeight="15"/>
  <cols>
    <col min="1" max="1" width="15.5703125" customWidth="1"/>
    <col min="2" max="2" width="16" customWidth="1"/>
    <col min="3" max="3" width="15.140625" customWidth="1"/>
    <col min="4" max="4" width="14.140625" customWidth="1"/>
  </cols>
  <sheetData>
    <row r="2" spans="1:8" ht="15.75">
      <c r="A2" s="41" t="s">
        <v>490</v>
      </c>
      <c r="B2" s="42"/>
      <c r="C2" s="42"/>
      <c r="D2" s="42"/>
      <c r="E2" s="42"/>
      <c r="F2" s="42"/>
      <c r="G2" s="42"/>
      <c r="H2" s="42"/>
    </row>
    <row r="3" spans="1:8" ht="15.75">
      <c r="A3" s="42"/>
      <c r="B3" s="42"/>
      <c r="C3" s="42"/>
      <c r="D3" s="42"/>
      <c r="E3" s="42"/>
      <c r="F3" s="42"/>
      <c r="G3" s="42"/>
      <c r="H3" s="42"/>
    </row>
    <row r="4" spans="1:8" ht="15.75">
      <c r="A4" s="41" t="s">
        <v>427</v>
      </c>
      <c r="B4" s="177" t="s">
        <v>491</v>
      </c>
      <c r="C4" s="177"/>
      <c r="D4" s="177"/>
      <c r="E4" s="177"/>
      <c r="F4" s="177"/>
      <c r="G4" s="177"/>
      <c r="H4" s="177"/>
    </row>
    <row r="5" spans="1:8" ht="15.75">
      <c r="A5" s="42" t="s">
        <v>492</v>
      </c>
      <c r="B5" s="43">
        <v>0.96</v>
      </c>
      <c r="C5" s="43">
        <v>0.69</v>
      </c>
      <c r="D5" s="43">
        <v>0.86</v>
      </c>
      <c r="E5" s="43">
        <v>0.88</v>
      </c>
      <c r="F5" s="43">
        <v>0.91</v>
      </c>
      <c r="G5" s="42"/>
      <c r="H5" s="42"/>
    </row>
    <row r="6" spans="1:8" ht="15.75">
      <c r="A6" s="42" t="s">
        <v>493</v>
      </c>
      <c r="B6" s="43">
        <v>0.97</v>
      </c>
      <c r="C6" s="43">
        <v>0.75</v>
      </c>
      <c r="D6" s="43">
        <v>0.56000000000000005</v>
      </c>
      <c r="E6" s="43">
        <v>0.64</v>
      </c>
      <c r="F6" s="43">
        <v>0.65</v>
      </c>
      <c r="G6" s="42"/>
      <c r="H6" s="42"/>
    </row>
    <row r="7" spans="1:8" ht="15.75">
      <c r="A7" s="42" t="s">
        <v>494</v>
      </c>
      <c r="B7" s="43">
        <v>0.86</v>
      </c>
      <c r="C7" s="43">
        <v>0.88</v>
      </c>
      <c r="D7" s="43">
        <v>0.91</v>
      </c>
      <c r="E7" s="43">
        <v>0.53</v>
      </c>
      <c r="F7" s="43">
        <v>0.78</v>
      </c>
      <c r="G7" s="42"/>
      <c r="H7" s="42"/>
    </row>
    <row r="8" spans="1:8" ht="15.75">
      <c r="A8" s="42"/>
      <c r="B8" s="43"/>
      <c r="C8" s="43"/>
      <c r="D8" s="43"/>
      <c r="E8" s="43"/>
      <c r="F8" s="43"/>
      <c r="G8" s="42"/>
      <c r="H8" s="42"/>
    </row>
    <row r="9" spans="1:8" ht="15.75">
      <c r="A9" s="42"/>
      <c r="B9" s="42"/>
      <c r="C9" s="42"/>
      <c r="D9" s="42"/>
      <c r="E9" s="42"/>
      <c r="F9" s="42"/>
      <c r="G9" s="42"/>
      <c r="H9" s="42"/>
    </row>
    <row r="10" spans="1:8" ht="15.75">
      <c r="A10" s="41" t="s">
        <v>490</v>
      </c>
      <c r="B10" s="42"/>
      <c r="C10" s="42"/>
      <c r="D10" s="42"/>
      <c r="E10" s="42"/>
      <c r="F10" s="42"/>
      <c r="G10" s="42"/>
      <c r="H10" s="42"/>
    </row>
    <row r="11" spans="1:8" ht="15.75">
      <c r="A11" s="42"/>
      <c r="B11" s="42"/>
      <c r="C11" s="42"/>
      <c r="D11" s="42"/>
      <c r="E11" s="42"/>
      <c r="F11" s="42"/>
      <c r="G11" s="42"/>
      <c r="H11" s="42"/>
    </row>
    <row r="12" spans="1:8" ht="15.75">
      <c r="A12" s="41" t="s">
        <v>427</v>
      </c>
      <c r="B12" s="177" t="s">
        <v>495</v>
      </c>
      <c r="C12" s="177"/>
      <c r="D12" s="177"/>
      <c r="E12" s="177"/>
      <c r="F12" s="177"/>
      <c r="G12" s="177"/>
      <c r="H12" s="177"/>
    </row>
    <row r="13" spans="1:8" ht="15.75">
      <c r="A13" s="42" t="s">
        <v>492</v>
      </c>
      <c r="B13" s="43">
        <v>8.8999999999999996E-2</v>
      </c>
      <c r="C13" s="43">
        <v>7.9000000000000001E-2</v>
      </c>
      <c r="D13" s="43">
        <v>9.6000000000000002E-2</v>
      </c>
      <c r="E13" s="43">
        <v>6.9000000000000006E-2</v>
      </c>
      <c r="F13" s="43">
        <v>7.8E-2</v>
      </c>
      <c r="G13" s="42"/>
      <c r="H13" s="42"/>
    </row>
    <row r="14" spans="1:8" ht="15.75">
      <c r="A14" s="42" t="s">
        <v>493</v>
      </c>
      <c r="B14" s="43">
        <v>6.9000000000000006E-2</v>
      </c>
      <c r="C14" s="43">
        <v>8.5000000000000006E-2</v>
      </c>
      <c r="D14" s="43">
        <v>6.9000000000000006E-2</v>
      </c>
      <c r="E14" s="43">
        <v>7.5999999999999998E-2</v>
      </c>
      <c r="F14" s="43">
        <v>8.5999999999999993E-2</v>
      </c>
      <c r="G14" s="42"/>
      <c r="H14" s="42"/>
    </row>
    <row r="15" spans="1:8" ht="15.75">
      <c r="A15" s="42" t="s">
        <v>494</v>
      </c>
      <c r="B15" s="43">
        <v>8.8999999999999996E-2</v>
      </c>
      <c r="C15" s="43">
        <v>9.6000000000000002E-2</v>
      </c>
      <c r="D15" s="43">
        <v>9.9000000000000005E-2</v>
      </c>
      <c r="E15" s="43">
        <v>7.8E-2</v>
      </c>
      <c r="F15" s="43">
        <v>8.3000000000000004E-2</v>
      </c>
      <c r="G15" s="42"/>
      <c r="H15" s="42"/>
    </row>
    <row r="16" spans="1:8" ht="15.75">
      <c r="A16" s="42"/>
      <c r="B16" s="42"/>
      <c r="C16" s="42"/>
      <c r="D16" s="42"/>
      <c r="E16" s="42"/>
      <c r="F16" s="42"/>
      <c r="G16" s="42"/>
      <c r="H16" s="42"/>
    </row>
    <row r="17" spans="1:16" ht="15.75">
      <c r="A17" s="42"/>
      <c r="B17" s="42"/>
      <c r="C17" s="42"/>
      <c r="D17" s="42"/>
      <c r="E17" s="42"/>
      <c r="F17" s="42"/>
      <c r="G17" s="42"/>
      <c r="H17" s="42"/>
    </row>
    <row r="18" spans="1:16" ht="15.75">
      <c r="A18" s="41" t="s">
        <v>490</v>
      </c>
      <c r="B18" s="42"/>
      <c r="C18" s="42"/>
      <c r="D18" s="42"/>
      <c r="E18" s="42"/>
      <c r="F18" s="42"/>
      <c r="G18" s="42"/>
      <c r="H18" s="42"/>
    </row>
    <row r="19" spans="1:16" ht="15.75">
      <c r="A19" s="42"/>
      <c r="B19" s="42"/>
      <c r="C19" s="42"/>
      <c r="D19" s="42"/>
      <c r="E19" s="42"/>
      <c r="F19" s="42"/>
      <c r="G19" s="42"/>
      <c r="H19" s="42"/>
    </row>
    <row r="20" spans="1:16" ht="15.75">
      <c r="A20" s="41" t="s">
        <v>427</v>
      </c>
      <c r="B20" s="177" t="s">
        <v>496</v>
      </c>
      <c r="C20" s="177"/>
      <c r="D20" s="177"/>
      <c r="E20" s="177"/>
      <c r="F20" s="177"/>
      <c r="G20" s="177"/>
      <c r="H20" s="177"/>
    </row>
    <row r="21" spans="1:16" ht="15.75">
      <c r="A21" s="42" t="s">
        <v>492</v>
      </c>
      <c r="B21" s="43">
        <v>0.05</v>
      </c>
      <c r="C21" s="43">
        <v>0.01</v>
      </c>
      <c r="D21" s="43">
        <v>0.12</v>
      </c>
      <c r="E21" s="43">
        <v>0.05</v>
      </c>
      <c r="F21" s="43">
        <v>0.05</v>
      </c>
      <c r="G21" s="42"/>
      <c r="H21" s="42"/>
    </row>
    <row r="22" spans="1:16" ht="15.75">
      <c r="A22" s="42" t="s">
        <v>493</v>
      </c>
      <c r="B22" s="43">
        <v>0.12</v>
      </c>
      <c r="C22" s="43">
        <v>0.11</v>
      </c>
      <c r="D22" s="43">
        <v>0.12</v>
      </c>
      <c r="E22" s="43">
        <v>0.04</v>
      </c>
      <c r="F22" s="43">
        <v>0.01</v>
      </c>
      <c r="G22" s="42"/>
      <c r="H22" s="42"/>
    </row>
    <row r="23" spans="1:16" ht="15.75">
      <c r="A23" s="42" t="s">
        <v>494</v>
      </c>
      <c r="B23" s="43">
        <v>0.01</v>
      </c>
      <c r="C23" s="43">
        <v>0.06</v>
      </c>
      <c r="D23" s="43">
        <v>0.12</v>
      </c>
      <c r="E23" s="43">
        <v>0.09</v>
      </c>
      <c r="F23" s="43">
        <v>0.02</v>
      </c>
      <c r="G23" s="42"/>
      <c r="H23" s="42"/>
    </row>
    <row r="24" spans="1:16" ht="15.75">
      <c r="A24" s="42"/>
      <c r="B24" s="42"/>
      <c r="C24" s="42"/>
      <c r="D24" s="42"/>
      <c r="E24" s="42"/>
      <c r="F24" s="42"/>
      <c r="G24" s="42"/>
      <c r="H24" s="42"/>
    </row>
    <row r="25" spans="1:16" ht="15.75">
      <c r="A25" s="42"/>
      <c r="B25" s="42"/>
      <c r="C25" s="42"/>
      <c r="D25" s="42"/>
      <c r="E25" s="42"/>
      <c r="F25" s="42"/>
      <c r="G25" s="43"/>
      <c r="H25" s="43"/>
      <c r="I25" s="119"/>
      <c r="J25" s="119"/>
      <c r="K25" s="119"/>
      <c r="L25" s="119"/>
      <c r="M25" s="119"/>
      <c r="N25" s="119"/>
      <c r="O25" s="119"/>
      <c r="P25" s="119"/>
    </row>
    <row r="26" spans="1:16" ht="15.75">
      <c r="A26" s="42"/>
      <c r="B26" s="42"/>
      <c r="C26" s="42"/>
      <c r="D26" s="42"/>
      <c r="E26" s="42"/>
      <c r="F26" s="42"/>
      <c r="G26" s="42"/>
      <c r="H26" s="42"/>
    </row>
  </sheetData>
  <mergeCells count="3">
    <mergeCell ref="B4:H4"/>
    <mergeCell ref="B12:H12"/>
    <mergeCell ref="B20:H20"/>
  </mergeCell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opLeftCell="A2" workbookViewId="0">
      <selection activeCell="E20" sqref="E20"/>
    </sheetView>
  </sheetViews>
  <sheetFormatPr defaultRowHeight="15"/>
  <cols>
    <col min="1" max="1" width="16.7109375" customWidth="1"/>
  </cols>
  <sheetData>
    <row r="1" spans="1:16" ht="15.75">
      <c r="A1" s="65" t="s">
        <v>536</v>
      </c>
    </row>
    <row r="3" spans="1:16">
      <c r="A3" s="48"/>
      <c r="B3" s="49"/>
      <c r="C3" s="49"/>
      <c r="D3" s="49"/>
      <c r="E3" s="49"/>
      <c r="F3" s="49"/>
      <c r="G3" s="49"/>
      <c r="H3" s="49"/>
    </row>
    <row r="4" spans="1:16">
      <c r="A4" s="49"/>
      <c r="B4" s="49"/>
      <c r="C4" s="49"/>
      <c r="D4" s="49"/>
      <c r="E4" s="49"/>
      <c r="F4" s="49"/>
      <c r="G4" s="49"/>
      <c r="H4" s="49"/>
    </row>
    <row r="5" spans="1:16" ht="15.75">
      <c r="A5" s="41" t="s">
        <v>427</v>
      </c>
      <c r="B5" s="177" t="s">
        <v>537</v>
      </c>
      <c r="C5" s="177"/>
      <c r="D5" s="177"/>
      <c r="E5" s="177"/>
      <c r="F5" s="177"/>
      <c r="G5" s="177"/>
      <c r="H5" s="177"/>
    </row>
    <row r="6" spans="1:16" ht="15.75">
      <c r="A6" s="42" t="s">
        <v>169</v>
      </c>
      <c r="B6" s="119">
        <v>0.06</v>
      </c>
      <c r="C6" s="119">
        <v>0.06</v>
      </c>
      <c r="D6" s="119">
        <v>0.08</v>
      </c>
      <c r="E6" s="119">
        <v>0.04</v>
      </c>
      <c r="F6" s="119">
        <v>0.04</v>
      </c>
      <c r="G6" s="42"/>
      <c r="H6" s="42"/>
    </row>
    <row r="7" spans="1:16" ht="15.75">
      <c r="A7" s="42" t="s">
        <v>175</v>
      </c>
      <c r="B7" s="119">
        <v>0.75</v>
      </c>
      <c r="C7" s="119">
        <v>0.68</v>
      </c>
      <c r="D7" s="119">
        <v>0.63</v>
      </c>
      <c r="E7" s="119">
        <v>0.56000000000000005</v>
      </c>
      <c r="F7" s="119">
        <v>0.75</v>
      </c>
      <c r="G7" s="42"/>
      <c r="H7" s="42"/>
    </row>
    <row r="8" spans="1:16" ht="15.75">
      <c r="A8" s="42" t="s">
        <v>426</v>
      </c>
      <c r="B8" s="119">
        <v>0.78</v>
      </c>
      <c r="C8" s="119">
        <v>0.83</v>
      </c>
      <c r="D8" s="119">
        <v>0.82</v>
      </c>
      <c r="E8" s="119">
        <v>0.89</v>
      </c>
      <c r="F8" s="119">
        <v>0.81</v>
      </c>
      <c r="G8" s="42"/>
      <c r="H8" s="42"/>
    </row>
    <row r="9" spans="1:16" ht="15.75">
      <c r="A9" s="42" t="s">
        <v>177</v>
      </c>
      <c r="B9" s="119">
        <v>0.98</v>
      </c>
      <c r="C9" s="119">
        <v>0.89</v>
      </c>
      <c r="D9" s="119">
        <v>0.99</v>
      </c>
      <c r="E9" s="119">
        <v>0.89</v>
      </c>
      <c r="F9" s="119">
        <v>0.81</v>
      </c>
      <c r="G9" s="42"/>
      <c r="H9" s="42"/>
    </row>
    <row r="10" spans="1:16" ht="15.75">
      <c r="A10" s="42"/>
      <c r="L10" s="119"/>
      <c r="M10" s="119"/>
      <c r="N10" s="119"/>
      <c r="O10" s="119"/>
      <c r="P10" s="119"/>
    </row>
    <row r="11" spans="1:16" ht="15.75">
      <c r="A11" s="42"/>
      <c r="B11" s="42"/>
      <c r="C11" s="42"/>
      <c r="D11" s="42"/>
      <c r="E11" s="42"/>
      <c r="F11" s="42"/>
      <c r="G11" s="42"/>
      <c r="H11" s="42"/>
    </row>
    <row r="12" spans="1:16" ht="15.75">
      <c r="A12" s="48" t="s">
        <v>539</v>
      </c>
      <c r="B12" s="42"/>
      <c r="C12" s="42"/>
      <c r="D12" s="42"/>
      <c r="E12" s="42"/>
      <c r="F12" s="42"/>
      <c r="G12" s="42"/>
      <c r="H12" s="42"/>
    </row>
    <row r="13" spans="1:16" ht="15.75">
      <c r="A13" s="49"/>
      <c r="B13" s="42"/>
      <c r="C13" s="42"/>
      <c r="D13" s="42"/>
      <c r="E13" s="42"/>
      <c r="F13" s="42"/>
      <c r="G13" s="42"/>
      <c r="H13" s="42"/>
    </row>
    <row r="14" spans="1:16" ht="15.75">
      <c r="A14" s="41" t="s">
        <v>427</v>
      </c>
      <c r="B14" s="177" t="s">
        <v>538</v>
      </c>
      <c r="C14" s="177"/>
      <c r="D14" s="177"/>
      <c r="E14" s="177"/>
      <c r="F14" s="177"/>
      <c r="G14" s="177"/>
      <c r="H14" s="177"/>
    </row>
    <row r="15" spans="1:16" ht="15.75">
      <c r="A15" s="42" t="s">
        <v>169</v>
      </c>
      <c r="B15" s="119">
        <v>0.05</v>
      </c>
      <c r="C15" s="119">
        <v>0.09</v>
      </c>
      <c r="D15" s="119">
        <v>0.04</v>
      </c>
      <c r="E15" s="119">
        <v>0.08</v>
      </c>
      <c r="F15" s="119">
        <v>0.12</v>
      </c>
      <c r="G15" s="42"/>
      <c r="H15" s="42"/>
    </row>
    <row r="16" spans="1:16" ht="15.75">
      <c r="A16" s="42" t="s">
        <v>175</v>
      </c>
      <c r="B16" s="119">
        <v>0.43</v>
      </c>
      <c r="C16" s="119">
        <v>0.23</v>
      </c>
      <c r="D16" s="119">
        <v>0.53</v>
      </c>
      <c r="E16" s="119">
        <v>0.22</v>
      </c>
      <c r="F16" s="119">
        <v>0.34</v>
      </c>
      <c r="G16" s="42"/>
      <c r="H16" s="42"/>
    </row>
    <row r="17" spans="1:8" ht="15.75">
      <c r="A17" s="42" t="s">
        <v>426</v>
      </c>
      <c r="B17" s="119">
        <v>0.78</v>
      </c>
      <c r="C17" s="119">
        <v>0.69</v>
      </c>
      <c r="D17" s="119">
        <v>0.75</v>
      </c>
      <c r="E17" s="119">
        <v>0.74</v>
      </c>
      <c r="F17" s="119">
        <v>0.66</v>
      </c>
      <c r="G17" s="42"/>
      <c r="H17" s="42"/>
    </row>
    <row r="18" spans="1:8" ht="15.75">
      <c r="A18" s="42" t="s">
        <v>177</v>
      </c>
      <c r="B18" s="119">
        <v>0.95</v>
      </c>
      <c r="C18" s="119">
        <v>0.82</v>
      </c>
      <c r="D18" s="119">
        <v>0.91500000000000004</v>
      </c>
      <c r="E18" s="119">
        <v>0.745</v>
      </c>
      <c r="F18" s="119">
        <v>0.89</v>
      </c>
      <c r="G18" s="42"/>
      <c r="H18" s="42"/>
    </row>
  </sheetData>
  <mergeCells count="2">
    <mergeCell ref="B5:H5"/>
    <mergeCell ref="B14:H14"/>
  </mergeCell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91"/>
  <sheetViews>
    <sheetView topLeftCell="A71" workbookViewId="0">
      <selection activeCell="A2" sqref="A2"/>
    </sheetView>
  </sheetViews>
  <sheetFormatPr defaultRowHeight="15"/>
  <cols>
    <col min="1" max="1" width="11.7109375" customWidth="1"/>
    <col min="3" max="3" width="11.42578125" customWidth="1"/>
  </cols>
  <sheetData>
    <row r="2" spans="1:28">
      <c r="A2" t="s">
        <v>757</v>
      </c>
    </row>
    <row r="4" spans="1:28" ht="15.75">
      <c r="C4" s="41" t="s">
        <v>540</v>
      </c>
    </row>
    <row r="6" spans="1:28">
      <c r="A6" t="s">
        <v>558</v>
      </c>
      <c r="B6" s="1" t="s">
        <v>546</v>
      </c>
    </row>
    <row r="7" spans="1:28">
      <c r="B7" s="1"/>
      <c r="C7" s="1" t="s">
        <v>427</v>
      </c>
      <c r="D7" s="1" t="s">
        <v>541</v>
      </c>
      <c r="E7" s="1" t="s">
        <v>542</v>
      </c>
      <c r="F7" s="1" t="s">
        <v>543</v>
      </c>
      <c r="G7" s="1" t="s">
        <v>544</v>
      </c>
      <c r="H7" s="1" t="s">
        <v>545</v>
      </c>
    </row>
    <row r="8" spans="1:28">
      <c r="B8" s="1"/>
      <c r="C8" t="s">
        <v>174</v>
      </c>
      <c r="D8" s="119">
        <v>52.54</v>
      </c>
      <c r="E8" s="119">
        <v>50.71</v>
      </c>
      <c r="F8" s="119">
        <v>34.234999999999999</v>
      </c>
      <c r="G8" s="119">
        <v>28.545999999999999</v>
      </c>
      <c r="H8" s="119">
        <v>25.692</v>
      </c>
      <c r="S8" s="119"/>
      <c r="T8" s="119"/>
      <c r="U8" s="119"/>
      <c r="V8" s="119"/>
      <c r="W8" s="119"/>
      <c r="X8" s="119"/>
      <c r="Y8" s="119"/>
      <c r="Z8" s="119"/>
      <c r="AA8" s="119"/>
      <c r="AB8" s="119"/>
    </row>
    <row r="9" spans="1:28">
      <c r="B9" s="1"/>
      <c r="C9" t="s">
        <v>175</v>
      </c>
      <c r="D9" s="119">
        <v>173.55</v>
      </c>
      <c r="E9" s="119">
        <v>169.65</v>
      </c>
      <c r="F9" s="119">
        <v>186.233</v>
      </c>
      <c r="G9" s="119">
        <v>159.22999999999999</v>
      </c>
      <c r="H9" s="119">
        <v>248.239</v>
      </c>
    </row>
    <row r="10" spans="1:28">
      <c r="B10" s="1"/>
      <c r="C10" t="s">
        <v>204</v>
      </c>
      <c r="D10" s="119">
        <v>245.75399999999999</v>
      </c>
      <c r="E10" s="119">
        <v>251.5461</v>
      </c>
      <c r="F10" s="119">
        <v>268.23</v>
      </c>
      <c r="G10" s="119">
        <v>198.238</v>
      </c>
      <c r="H10" s="119">
        <v>302.12</v>
      </c>
    </row>
    <row r="11" spans="1:28">
      <c r="B11" s="1"/>
      <c r="C11" t="s">
        <v>177</v>
      </c>
      <c r="D11" s="119">
        <v>588.54600000000005</v>
      </c>
      <c r="E11" s="119">
        <v>632.22400000000005</v>
      </c>
      <c r="F11" s="119">
        <v>281.94499999999999</v>
      </c>
      <c r="G11" s="119">
        <v>486.23</v>
      </c>
      <c r="H11" s="119">
        <v>624.35</v>
      </c>
    </row>
    <row r="12" spans="1:28">
      <c r="B12" s="1"/>
    </row>
    <row r="13" spans="1:28">
      <c r="B13" s="1"/>
    </row>
    <row r="14" spans="1:28">
      <c r="A14" t="s">
        <v>559</v>
      </c>
      <c r="B14" s="1" t="s">
        <v>553</v>
      </c>
      <c r="C14" s="1" t="s">
        <v>427</v>
      </c>
      <c r="D14" s="1" t="s">
        <v>541</v>
      </c>
      <c r="E14" s="1" t="s">
        <v>542</v>
      </c>
      <c r="F14" s="1" t="s">
        <v>543</v>
      </c>
      <c r="G14" s="1" t="s">
        <v>544</v>
      </c>
      <c r="H14" s="1" t="s">
        <v>545</v>
      </c>
    </row>
    <row r="15" spans="1:28">
      <c r="B15" s="1"/>
      <c r="C15" t="s">
        <v>174</v>
      </c>
      <c r="D15" s="119">
        <v>4.95</v>
      </c>
      <c r="E15" s="119">
        <v>5.1100000000000003</v>
      </c>
      <c r="F15" s="119">
        <v>21.434999999999999</v>
      </c>
      <c r="G15" s="119">
        <v>18.358000000000001</v>
      </c>
      <c r="H15" s="119">
        <v>20.546199999999999</v>
      </c>
      <c r="N15" s="119"/>
      <c r="O15" s="119"/>
      <c r="P15" s="119"/>
      <c r="Q15" s="119"/>
      <c r="R15" s="119"/>
      <c r="S15" s="119"/>
      <c r="T15" s="119"/>
      <c r="U15" s="119"/>
      <c r="V15" s="119"/>
    </row>
    <row r="16" spans="1:28">
      <c r="B16" s="1"/>
      <c r="C16" t="s">
        <v>175</v>
      </c>
      <c r="D16" s="119">
        <v>441.96</v>
      </c>
      <c r="E16" s="119">
        <v>439.54</v>
      </c>
      <c r="F16" s="119">
        <v>73.293999999999997</v>
      </c>
      <c r="G16" s="119">
        <v>244.65899999999999</v>
      </c>
      <c r="H16" s="119">
        <v>267.39530000000002</v>
      </c>
    </row>
    <row r="17" spans="1:16">
      <c r="B17" s="1"/>
      <c r="C17" t="s">
        <v>204</v>
      </c>
      <c r="D17" s="119">
        <v>345.19400000000002</v>
      </c>
      <c r="E17" s="119">
        <v>451.39499999999998</v>
      </c>
      <c r="F17" s="119">
        <v>362.49599999999998</v>
      </c>
      <c r="G17" s="119">
        <v>382.43950000000001</v>
      </c>
      <c r="H17" s="119">
        <v>373.35399999999998</v>
      </c>
    </row>
    <row r="18" spans="1:16">
      <c r="B18" s="1"/>
      <c r="C18" t="s">
        <v>177</v>
      </c>
      <c r="D18" s="119">
        <v>424.63</v>
      </c>
      <c r="E18" s="119">
        <v>312.58600000000001</v>
      </c>
      <c r="F18" s="119">
        <v>745.12400000000002</v>
      </c>
      <c r="G18" s="119">
        <v>369.392</v>
      </c>
      <c r="H18" s="119">
        <v>545.29399999999998</v>
      </c>
    </row>
    <row r="19" spans="1:16">
      <c r="B19" s="130"/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</row>
    <row r="20" spans="1:16">
      <c r="B20" s="1"/>
    </row>
    <row r="21" spans="1:16">
      <c r="A21" t="s">
        <v>560</v>
      </c>
      <c r="B21" s="1" t="s">
        <v>554</v>
      </c>
      <c r="C21" s="1" t="s">
        <v>427</v>
      </c>
      <c r="D21" s="1" t="s">
        <v>541</v>
      </c>
      <c r="E21" s="1" t="s">
        <v>542</v>
      </c>
      <c r="F21" s="1" t="s">
        <v>543</v>
      </c>
      <c r="G21" s="1" t="s">
        <v>544</v>
      </c>
      <c r="H21" s="1" t="s">
        <v>545</v>
      </c>
    </row>
    <row r="22" spans="1:16">
      <c r="B22" s="1"/>
      <c r="C22" t="s">
        <v>174</v>
      </c>
      <c r="D22" s="119">
        <v>2.19</v>
      </c>
      <c r="E22" s="119">
        <v>2.76</v>
      </c>
      <c r="F22" s="119">
        <v>19.439</v>
      </c>
      <c r="G22" s="119">
        <v>21.593</v>
      </c>
      <c r="H22" s="119">
        <v>22.14</v>
      </c>
    </row>
    <row r="23" spans="1:16">
      <c r="B23" s="1"/>
      <c r="C23" t="s">
        <v>175</v>
      </c>
      <c r="D23" s="119">
        <v>327.56</v>
      </c>
      <c r="E23" s="119">
        <v>433.53</v>
      </c>
      <c r="F23" s="119">
        <v>752.10299999999995</v>
      </c>
      <c r="G23" s="119">
        <v>529.54300000000001</v>
      </c>
      <c r="H23" s="119">
        <v>361.23399999999998</v>
      </c>
    </row>
    <row r="24" spans="1:16">
      <c r="B24" s="1"/>
      <c r="C24" t="s">
        <v>204</v>
      </c>
      <c r="D24" s="119">
        <v>734.65</v>
      </c>
      <c r="E24" s="119">
        <v>649.26130000000001</v>
      </c>
      <c r="F24" s="119">
        <v>781.32</v>
      </c>
      <c r="G24" s="119">
        <v>455.00299999999999</v>
      </c>
      <c r="H24" s="119">
        <v>473.52</v>
      </c>
    </row>
    <row r="25" spans="1:16">
      <c r="B25" s="1"/>
      <c r="C25" t="s">
        <v>177</v>
      </c>
      <c r="D25" s="119">
        <v>734.12</v>
      </c>
      <c r="E25" s="119">
        <v>1048.385</v>
      </c>
      <c r="F25" s="119">
        <v>1011.39</v>
      </c>
      <c r="G25" s="119">
        <v>612.48500000000001</v>
      </c>
      <c r="H25" s="119">
        <v>1211.2940000000001</v>
      </c>
    </row>
    <row r="26" spans="1:16">
      <c r="B26" s="1"/>
    </row>
    <row r="27" spans="1:16">
      <c r="B27" s="1"/>
    </row>
    <row r="28" spans="1:16">
      <c r="A28" t="s">
        <v>561</v>
      </c>
      <c r="B28" s="1" t="s">
        <v>555</v>
      </c>
      <c r="C28" s="1" t="s">
        <v>427</v>
      </c>
      <c r="D28" s="1" t="s">
        <v>541</v>
      </c>
      <c r="E28" s="1" t="s">
        <v>542</v>
      </c>
      <c r="F28" s="1" t="s">
        <v>543</v>
      </c>
      <c r="G28" s="1" t="s">
        <v>544</v>
      </c>
      <c r="H28" s="1" t="s">
        <v>545</v>
      </c>
    </row>
    <row r="29" spans="1:16">
      <c r="B29" s="1"/>
      <c r="C29" t="s">
        <v>174</v>
      </c>
      <c r="D29" s="119">
        <v>19.29</v>
      </c>
      <c r="E29" s="119">
        <v>23.42</v>
      </c>
      <c r="F29" s="119">
        <v>32.491999999999997</v>
      </c>
      <c r="G29" s="119">
        <v>12.548</v>
      </c>
      <c r="H29" s="119">
        <v>20.292999999999999</v>
      </c>
    </row>
    <row r="30" spans="1:16">
      <c r="B30" s="1"/>
      <c r="C30" t="s">
        <v>175</v>
      </c>
      <c r="D30" s="119">
        <v>49.6</v>
      </c>
      <c r="E30" s="119">
        <v>35.39</v>
      </c>
      <c r="F30" s="119">
        <v>86.329400000000007</v>
      </c>
      <c r="G30" s="119">
        <v>172.12799999999999</v>
      </c>
      <c r="H30" s="119">
        <v>136.12899999999999</v>
      </c>
    </row>
    <row r="31" spans="1:16">
      <c r="B31" s="1"/>
      <c r="C31" t="s">
        <v>204</v>
      </c>
      <c r="D31" s="119">
        <v>43.945599999999999</v>
      </c>
      <c r="E31" s="119">
        <v>57.194899999999997</v>
      </c>
      <c r="F31" s="119">
        <v>96.349000000000004</v>
      </c>
      <c r="G31" s="119">
        <v>104.593</v>
      </c>
      <c r="H31" s="119">
        <v>73.924000000000007</v>
      </c>
    </row>
    <row r="32" spans="1:16">
      <c r="B32" s="1"/>
      <c r="C32" t="s">
        <v>177</v>
      </c>
      <c r="D32" s="119">
        <v>421.29399999999998</v>
      </c>
      <c r="E32" s="119">
        <v>668.65300000000002</v>
      </c>
      <c r="F32" s="119">
        <v>695.29</v>
      </c>
      <c r="G32" s="119">
        <v>601.95799999999997</v>
      </c>
      <c r="H32" s="119">
        <v>893.399</v>
      </c>
    </row>
    <row r="33" spans="1:8">
      <c r="B33" s="1"/>
    </row>
    <row r="34" spans="1:8">
      <c r="B34" s="1"/>
    </row>
    <row r="35" spans="1:8">
      <c r="A35" t="s">
        <v>562</v>
      </c>
      <c r="B35" s="1" t="s">
        <v>547</v>
      </c>
      <c r="C35" s="1" t="s">
        <v>427</v>
      </c>
      <c r="D35" s="1" t="s">
        <v>541</v>
      </c>
      <c r="E35" s="1" t="s">
        <v>542</v>
      </c>
      <c r="F35" s="1" t="s">
        <v>543</v>
      </c>
      <c r="G35" s="1" t="s">
        <v>544</v>
      </c>
      <c r="H35" s="1" t="s">
        <v>545</v>
      </c>
    </row>
    <row r="36" spans="1:8">
      <c r="B36" s="1"/>
      <c r="C36" t="s">
        <v>174</v>
      </c>
      <c r="D36" s="119">
        <v>51.24</v>
      </c>
      <c r="E36" s="119">
        <v>53.9</v>
      </c>
      <c r="F36" s="119">
        <v>48.194000000000003</v>
      </c>
      <c r="G36" s="119">
        <v>31.395</v>
      </c>
      <c r="H36" s="119">
        <v>22.619299999999999</v>
      </c>
    </row>
    <row r="37" spans="1:8">
      <c r="B37" s="1"/>
      <c r="C37" t="s">
        <v>175</v>
      </c>
      <c r="D37" s="119">
        <v>56.54</v>
      </c>
      <c r="E37" s="119">
        <v>81.489999999999995</v>
      </c>
      <c r="F37" s="119">
        <v>121.395</v>
      </c>
      <c r="G37" s="119">
        <v>98.85</v>
      </c>
      <c r="H37" s="119">
        <v>88.344999999999999</v>
      </c>
    </row>
    <row r="38" spans="1:8">
      <c r="B38" s="1"/>
      <c r="C38" t="s">
        <v>204</v>
      </c>
      <c r="D38" s="119">
        <v>97.43</v>
      </c>
      <c r="E38" s="119">
        <v>113.54600000000001</v>
      </c>
      <c r="F38" s="119">
        <v>218.34800000000001</v>
      </c>
      <c r="G38" s="119">
        <v>184.583</v>
      </c>
      <c r="H38" s="119">
        <v>171.23849999999999</v>
      </c>
    </row>
    <row r="39" spans="1:8">
      <c r="B39" s="1"/>
      <c r="C39" t="s">
        <v>177</v>
      </c>
      <c r="D39" s="119">
        <v>643.24</v>
      </c>
      <c r="E39" s="119">
        <v>924.29499999999996</v>
      </c>
      <c r="F39" s="119">
        <v>992.35</v>
      </c>
      <c r="G39" s="119">
        <v>893.48900000000003</v>
      </c>
      <c r="H39" s="119">
        <v>812.38400000000001</v>
      </c>
    </row>
    <row r="40" spans="1:8">
      <c r="B40" s="1"/>
    </row>
    <row r="41" spans="1:8">
      <c r="B41" s="1"/>
    </row>
    <row r="42" spans="1:8">
      <c r="A42" t="s">
        <v>563</v>
      </c>
      <c r="B42" s="1" t="s">
        <v>548</v>
      </c>
      <c r="C42" s="1" t="s">
        <v>427</v>
      </c>
      <c r="D42" s="1" t="s">
        <v>541</v>
      </c>
      <c r="E42" s="1" t="s">
        <v>542</v>
      </c>
      <c r="F42" s="1" t="s">
        <v>543</v>
      </c>
      <c r="G42" s="1" t="s">
        <v>544</v>
      </c>
      <c r="H42" s="1" t="s">
        <v>545</v>
      </c>
    </row>
    <row r="43" spans="1:8">
      <c r="B43" s="1"/>
      <c r="C43" t="s">
        <v>174</v>
      </c>
      <c r="D43" s="119">
        <v>18.350000000000001</v>
      </c>
      <c r="E43" s="119">
        <v>16.43</v>
      </c>
      <c r="F43" s="119">
        <v>21.395</v>
      </c>
      <c r="G43" s="119">
        <v>25.294</v>
      </c>
      <c r="H43" s="119">
        <v>31.385000000000002</v>
      </c>
    </row>
    <row r="44" spans="1:8">
      <c r="B44" s="1"/>
      <c r="C44" t="s">
        <v>175</v>
      </c>
      <c r="D44" s="119">
        <v>70.239999999999995</v>
      </c>
      <c r="E44" s="119">
        <v>49.43</v>
      </c>
      <c r="F44" s="119">
        <v>39.950000000000003</v>
      </c>
      <c r="G44" s="119">
        <v>94.593999999999994</v>
      </c>
      <c r="H44" s="119">
        <v>83.933999999999997</v>
      </c>
    </row>
    <row r="45" spans="1:8">
      <c r="B45" s="1"/>
      <c r="C45" t="s">
        <v>204</v>
      </c>
      <c r="D45" s="119">
        <v>431.49599999999998</v>
      </c>
      <c r="E45" s="119">
        <v>511.54899999999998</v>
      </c>
      <c r="F45" s="119">
        <v>484.34899999999999</v>
      </c>
      <c r="G45" s="119">
        <v>122.3985</v>
      </c>
      <c r="H45" s="119">
        <v>153.95830000000001</v>
      </c>
    </row>
    <row r="46" spans="1:8">
      <c r="B46" s="1"/>
      <c r="C46" t="s">
        <v>177</v>
      </c>
      <c r="D46" s="119">
        <v>664.23800000000006</v>
      </c>
      <c r="E46" s="119">
        <v>543.65300000000002</v>
      </c>
      <c r="F46" s="119">
        <v>484.392</v>
      </c>
      <c r="G46" s="119">
        <v>439.49599999999998</v>
      </c>
      <c r="H46" s="119">
        <v>938.48500000000001</v>
      </c>
    </row>
    <row r="47" spans="1:8">
      <c r="B47" s="1"/>
    </row>
    <row r="48" spans="1:8">
      <c r="B48" s="1"/>
    </row>
    <row r="49" spans="1:8">
      <c r="A49" t="s">
        <v>564</v>
      </c>
      <c r="B49" s="1" t="s">
        <v>556</v>
      </c>
      <c r="C49" s="1" t="s">
        <v>427</v>
      </c>
      <c r="D49" s="1" t="s">
        <v>541</v>
      </c>
      <c r="E49" s="1" t="s">
        <v>542</v>
      </c>
      <c r="F49" s="1" t="s">
        <v>543</v>
      </c>
      <c r="G49" s="1" t="s">
        <v>544</v>
      </c>
      <c r="H49" s="1" t="s">
        <v>545</v>
      </c>
    </row>
    <row r="50" spans="1:8">
      <c r="B50" s="1"/>
      <c r="C50" t="s">
        <v>174</v>
      </c>
      <c r="D50" s="119">
        <v>28.54</v>
      </c>
      <c r="E50" s="119">
        <v>31.27</v>
      </c>
      <c r="F50" s="119">
        <v>12.494999999999999</v>
      </c>
      <c r="G50" s="119">
        <v>22.193999999999999</v>
      </c>
      <c r="H50" s="119">
        <v>36.494999999999997</v>
      </c>
    </row>
    <row r="51" spans="1:8">
      <c r="B51" s="1"/>
      <c r="C51" t="s">
        <v>175</v>
      </c>
      <c r="D51" s="119">
        <v>42.09</v>
      </c>
      <c r="E51" s="119">
        <v>73.540000000000006</v>
      </c>
      <c r="F51" s="119">
        <v>85.682000000000002</v>
      </c>
      <c r="G51" s="119">
        <v>129.48500000000001</v>
      </c>
      <c r="H51" s="119">
        <v>175.834</v>
      </c>
    </row>
    <row r="52" spans="1:8">
      <c r="B52" s="1"/>
      <c r="C52" t="s">
        <v>204</v>
      </c>
      <c r="D52" s="119">
        <v>512.29</v>
      </c>
      <c r="E52" s="119">
        <v>723.12599999999998</v>
      </c>
      <c r="F52" s="119">
        <v>679.39499999999998</v>
      </c>
      <c r="G52" s="119">
        <v>559.93499999999995</v>
      </c>
      <c r="H52" s="119">
        <v>845.1943</v>
      </c>
    </row>
    <row r="53" spans="1:8">
      <c r="B53" s="1"/>
      <c r="C53" t="s">
        <v>177</v>
      </c>
      <c r="D53" s="119">
        <v>1465.2449999999999</v>
      </c>
      <c r="E53" s="119">
        <v>1743.32</v>
      </c>
      <c r="F53" s="119">
        <v>1124.5940000000001</v>
      </c>
      <c r="G53" s="119">
        <v>2019.395</v>
      </c>
      <c r="H53" s="119">
        <v>1893.952</v>
      </c>
    </row>
    <row r="54" spans="1:8">
      <c r="B54" s="1"/>
    </row>
    <row r="55" spans="1:8">
      <c r="B55" s="1"/>
    </row>
    <row r="56" spans="1:8">
      <c r="A56" t="s">
        <v>565</v>
      </c>
      <c r="B56" s="1" t="s">
        <v>549</v>
      </c>
      <c r="C56" s="1" t="s">
        <v>427</v>
      </c>
      <c r="D56" s="1" t="s">
        <v>541</v>
      </c>
      <c r="E56" s="1" t="s">
        <v>542</v>
      </c>
      <c r="F56" s="1" t="s">
        <v>543</v>
      </c>
      <c r="G56" s="1" t="s">
        <v>544</v>
      </c>
      <c r="H56" s="1" t="s">
        <v>545</v>
      </c>
    </row>
    <row r="57" spans="1:8">
      <c r="B57" s="1"/>
      <c r="C57" t="s">
        <v>174</v>
      </c>
      <c r="D57" s="119">
        <v>23.59</v>
      </c>
      <c r="E57" s="119">
        <v>26.86</v>
      </c>
      <c r="F57" s="119">
        <v>21.193999999999999</v>
      </c>
      <c r="G57" s="119">
        <v>11.493399999999999</v>
      </c>
      <c r="H57" s="119">
        <v>16.943000000000001</v>
      </c>
    </row>
    <row r="58" spans="1:8">
      <c r="B58" s="1"/>
      <c r="C58" t="s">
        <v>175</v>
      </c>
      <c r="D58" s="119">
        <v>358.7</v>
      </c>
      <c r="E58" s="119">
        <v>449.54</v>
      </c>
      <c r="F58" s="119">
        <v>456.83</v>
      </c>
      <c r="G58" s="119">
        <v>254.29900000000001</v>
      </c>
      <c r="H58" s="119">
        <v>289.32299999999998</v>
      </c>
    </row>
    <row r="59" spans="1:8">
      <c r="B59" s="1"/>
      <c r="C59" t="s">
        <v>204</v>
      </c>
      <c r="D59" s="119">
        <v>546.29300000000001</v>
      </c>
      <c r="E59" s="119">
        <v>567.23900000000003</v>
      </c>
      <c r="F59" s="119">
        <v>618.495</v>
      </c>
      <c r="G59" s="119">
        <v>552.19399999999996</v>
      </c>
      <c r="H59" s="119">
        <v>348.56299999999999</v>
      </c>
    </row>
    <row r="60" spans="1:8">
      <c r="B60" s="1"/>
      <c r="C60" t="s">
        <v>177</v>
      </c>
      <c r="D60" s="119">
        <v>678.23900000000003</v>
      </c>
      <c r="E60" s="119">
        <v>646.23199999999997</v>
      </c>
      <c r="F60" s="119">
        <v>582.96</v>
      </c>
      <c r="G60" s="119">
        <v>696.34</v>
      </c>
      <c r="H60" s="119">
        <v>1148.2940000000001</v>
      </c>
    </row>
    <row r="61" spans="1:8">
      <c r="B61" s="1"/>
    </row>
    <row r="62" spans="1:8">
      <c r="B62" s="1"/>
    </row>
    <row r="63" spans="1:8">
      <c r="A63" t="s">
        <v>566</v>
      </c>
      <c r="B63" s="1" t="s">
        <v>550</v>
      </c>
      <c r="C63" s="1" t="s">
        <v>427</v>
      </c>
      <c r="D63" s="1" t="s">
        <v>541</v>
      </c>
      <c r="E63" s="1" t="s">
        <v>542</v>
      </c>
      <c r="F63" s="1" t="s">
        <v>543</v>
      </c>
      <c r="G63" s="1" t="s">
        <v>544</v>
      </c>
      <c r="H63" s="1" t="s">
        <v>545</v>
      </c>
    </row>
    <row r="64" spans="1:8">
      <c r="B64" s="1"/>
      <c r="C64" t="s">
        <v>174</v>
      </c>
      <c r="D64" s="119">
        <v>2.4900000000000002</v>
      </c>
      <c r="E64" s="119">
        <v>1.97</v>
      </c>
      <c r="F64" s="119">
        <v>18.295000000000002</v>
      </c>
      <c r="G64" s="119">
        <v>20.283999999999999</v>
      </c>
      <c r="H64" s="119">
        <v>14.624499999999999</v>
      </c>
    </row>
    <row r="65" spans="1:8">
      <c r="B65" s="1"/>
      <c r="C65" t="s">
        <v>175</v>
      </c>
      <c r="D65" s="119">
        <v>124.19</v>
      </c>
      <c r="E65" s="119">
        <v>134.29</v>
      </c>
      <c r="F65" s="119">
        <v>382.18200000000002</v>
      </c>
      <c r="G65" s="119">
        <v>228.47300000000001</v>
      </c>
      <c r="H65" s="119">
        <v>152.39500000000001</v>
      </c>
    </row>
    <row r="66" spans="1:8">
      <c r="B66" s="1"/>
      <c r="C66" t="s">
        <v>204</v>
      </c>
      <c r="D66" s="119">
        <v>363.94</v>
      </c>
      <c r="E66" s="119">
        <v>423.29199999999997</v>
      </c>
      <c r="F66" s="119">
        <v>285.29399999999998</v>
      </c>
      <c r="G66" s="119">
        <v>384.29300000000001</v>
      </c>
      <c r="H66" s="119">
        <v>293.298</v>
      </c>
    </row>
    <row r="67" spans="1:8">
      <c r="B67" s="1"/>
      <c r="C67" t="s">
        <v>177</v>
      </c>
      <c r="D67" s="119">
        <v>678.23900000000003</v>
      </c>
      <c r="E67" s="119">
        <v>646.23199999999997</v>
      </c>
      <c r="F67" s="119">
        <v>582.96</v>
      </c>
      <c r="G67" s="119">
        <v>696.34</v>
      </c>
      <c r="H67" s="119">
        <v>1148.2940000000001</v>
      </c>
    </row>
    <row r="68" spans="1:8">
      <c r="B68" s="1"/>
    </row>
    <row r="69" spans="1:8">
      <c r="B69" s="1"/>
    </row>
    <row r="70" spans="1:8">
      <c r="A70" t="s">
        <v>567</v>
      </c>
      <c r="B70" s="1" t="s">
        <v>557</v>
      </c>
      <c r="C70" s="1" t="s">
        <v>427</v>
      </c>
      <c r="D70" s="1" t="s">
        <v>541</v>
      </c>
      <c r="E70" s="1" t="s">
        <v>542</v>
      </c>
      <c r="F70" s="1" t="s">
        <v>543</v>
      </c>
      <c r="G70" s="1" t="s">
        <v>544</v>
      </c>
      <c r="H70" s="1" t="s">
        <v>545</v>
      </c>
    </row>
    <row r="71" spans="1:8">
      <c r="B71" s="1"/>
      <c r="C71" t="s">
        <v>174</v>
      </c>
      <c r="D71" s="119">
        <v>19.39</v>
      </c>
      <c r="E71" s="119">
        <v>25.36</v>
      </c>
      <c r="F71" s="119">
        <v>31.395</v>
      </c>
      <c r="G71" s="119">
        <v>29.495000000000001</v>
      </c>
      <c r="H71" s="119">
        <v>11.395</v>
      </c>
    </row>
    <row r="72" spans="1:8">
      <c r="B72" s="1"/>
      <c r="C72" t="s">
        <v>175</v>
      </c>
      <c r="D72" s="119">
        <v>58.39</v>
      </c>
      <c r="E72" s="119">
        <v>52.36</v>
      </c>
      <c r="F72" s="119">
        <v>89.284999999999997</v>
      </c>
      <c r="G72" s="119">
        <v>68.935000000000002</v>
      </c>
      <c r="H72" s="119">
        <v>61.646000000000001</v>
      </c>
    </row>
    <row r="73" spans="1:8">
      <c r="B73" s="1"/>
      <c r="C73" t="s">
        <v>204</v>
      </c>
      <c r="D73" s="119">
        <v>212.54599999999999</v>
      </c>
      <c r="E73" s="119">
        <v>334.125</v>
      </c>
      <c r="F73" s="119">
        <v>193.584</v>
      </c>
      <c r="G73" s="119">
        <v>319.29300000000001</v>
      </c>
      <c r="H73" s="119">
        <v>238.453</v>
      </c>
    </row>
    <row r="74" spans="1:8">
      <c r="B74" s="1"/>
      <c r="C74" t="s">
        <v>177</v>
      </c>
      <c r="D74" s="119">
        <v>745.92499999999995</v>
      </c>
      <c r="E74" s="119">
        <v>854.346</v>
      </c>
      <c r="F74" s="119">
        <v>643.19399999999996</v>
      </c>
      <c r="G74" s="119">
        <v>794.29399999999998</v>
      </c>
      <c r="H74" s="119">
        <v>819.34100000000001</v>
      </c>
    </row>
    <row r="75" spans="1:8">
      <c r="B75" s="1"/>
    </row>
    <row r="76" spans="1:8">
      <c r="B76" s="1"/>
    </row>
    <row r="77" spans="1:8">
      <c r="A77" t="s">
        <v>568</v>
      </c>
      <c r="B77" s="1" t="s">
        <v>551</v>
      </c>
      <c r="C77" s="1" t="s">
        <v>427</v>
      </c>
      <c r="D77" s="1" t="s">
        <v>541</v>
      </c>
      <c r="E77" s="1" t="s">
        <v>542</v>
      </c>
      <c r="F77" s="1" t="s">
        <v>543</v>
      </c>
      <c r="G77" s="1" t="s">
        <v>544</v>
      </c>
      <c r="H77" s="1" t="s">
        <v>545</v>
      </c>
    </row>
    <row r="78" spans="1:8">
      <c r="C78" t="s">
        <v>174</v>
      </c>
      <c r="D78" s="119">
        <v>348.83</v>
      </c>
      <c r="E78" s="119">
        <v>428.83</v>
      </c>
      <c r="F78" s="119">
        <v>119.4546</v>
      </c>
      <c r="G78" s="119">
        <v>311.48500000000001</v>
      </c>
      <c r="H78" s="119">
        <v>42.694000000000003</v>
      </c>
    </row>
    <row r="79" spans="1:8">
      <c r="B79" s="1"/>
      <c r="C79" t="s">
        <v>175</v>
      </c>
      <c r="D79" s="119">
        <v>524.39</v>
      </c>
      <c r="E79" s="119">
        <v>651.43349999999998</v>
      </c>
      <c r="F79" s="119">
        <v>649.59209999999996</v>
      </c>
      <c r="G79" s="119">
        <v>366.29399999999998</v>
      </c>
      <c r="H79" s="119">
        <v>794.1422</v>
      </c>
    </row>
    <row r="80" spans="1:8">
      <c r="B80" s="1"/>
      <c r="C80" t="s">
        <v>204</v>
      </c>
      <c r="D80" s="119">
        <v>563.23900000000003</v>
      </c>
      <c r="E80" s="119">
        <v>613.23530000000005</v>
      </c>
      <c r="F80" s="119">
        <v>595.11300000000006</v>
      </c>
      <c r="G80" s="119">
        <v>495.92500000000001</v>
      </c>
      <c r="H80" s="119">
        <v>719.39499999999998</v>
      </c>
    </row>
    <row r="81" spans="1:8">
      <c r="B81" s="1"/>
      <c r="C81" t="s">
        <v>177</v>
      </c>
      <c r="D81" s="119">
        <v>992.19</v>
      </c>
      <c r="E81" s="119">
        <v>1032.56</v>
      </c>
      <c r="F81" s="119">
        <v>1135.2940000000001</v>
      </c>
      <c r="G81" s="119">
        <v>925.95299999999997</v>
      </c>
      <c r="H81" s="119">
        <v>894.32899999999995</v>
      </c>
    </row>
    <row r="82" spans="1:8">
      <c r="B82" s="1"/>
    </row>
    <row r="83" spans="1:8">
      <c r="B83" s="1"/>
    </row>
    <row r="84" spans="1:8">
      <c r="A84" t="s">
        <v>569</v>
      </c>
      <c r="B84" s="1" t="s">
        <v>552</v>
      </c>
      <c r="C84" s="1" t="s">
        <v>427</v>
      </c>
      <c r="D84" s="1" t="s">
        <v>541</v>
      </c>
      <c r="E84" s="1" t="s">
        <v>542</v>
      </c>
      <c r="F84" s="1" t="s">
        <v>543</v>
      </c>
      <c r="G84" s="1" t="s">
        <v>544</v>
      </c>
      <c r="H84" s="1" t="s">
        <v>545</v>
      </c>
    </row>
    <row r="85" spans="1:8">
      <c r="C85" t="s">
        <v>174</v>
      </c>
      <c r="D85" s="119">
        <v>31.43</v>
      </c>
      <c r="E85" s="119">
        <v>37</v>
      </c>
      <c r="F85" s="119">
        <v>21.49</v>
      </c>
      <c r="G85" s="119">
        <v>22.596</v>
      </c>
      <c r="H85" s="119">
        <v>31.395</v>
      </c>
    </row>
    <row r="86" spans="1:8">
      <c r="C86" t="s">
        <v>175</v>
      </c>
      <c r="D86" s="119">
        <v>65.64</v>
      </c>
      <c r="E86" s="119">
        <v>74.930000000000007</v>
      </c>
      <c r="F86" s="119">
        <v>103.54900000000001</v>
      </c>
      <c r="G86" s="119">
        <v>115.592</v>
      </c>
      <c r="H86" s="119">
        <v>184.52449999999999</v>
      </c>
    </row>
    <row r="87" spans="1:8">
      <c r="C87" t="s">
        <v>204</v>
      </c>
      <c r="D87" s="119">
        <v>341.46899999999999</v>
      </c>
      <c r="E87" s="119">
        <v>523.54200000000003</v>
      </c>
      <c r="F87" s="119">
        <v>512.32000000000005</v>
      </c>
      <c r="G87" s="119">
        <v>496.29300000000001</v>
      </c>
      <c r="H87" s="119">
        <v>584.23500000000001</v>
      </c>
    </row>
    <row r="88" spans="1:8">
      <c r="C88" t="s">
        <v>177</v>
      </c>
      <c r="D88" s="119">
        <v>943.54600000000005</v>
      </c>
      <c r="E88" s="119">
        <v>783.23900000000003</v>
      </c>
      <c r="F88" s="119">
        <v>785.24300000000005</v>
      </c>
      <c r="G88" s="119">
        <v>685</v>
      </c>
      <c r="H88" s="119">
        <v>931.35400000000004</v>
      </c>
    </row>
    <row r="91" spans="1:8">
      <c r="D91" s="1"/>
      <c r="E91" s="1"/>
      <c r="F91" s="1"/>
      <c r="G91" s="1"/>
      <c r="H91" s="1"/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R68"/>
  <sheetViews>
    <sheetView topLeftCell="A53" zoomScale="87" zoomScaleNormal="87" workbookViewId="0">
      <selection activeCell="F23" sqref="F23"/>
    </sheetView>
  </sheetViews>
  <sheetFormatPr defaultRowHeight="15"/>
  <cols>
    <col min="1" max="1" width="15.28515625" customWidth="1"/>
  </cols>
  <sheetData>
    <row r="2" spans="1:96">
      <c r="A2" s="1" t="s">
        <v>758</v>
      </c>
      <c r="C2" s="1" t="s">
        <v>572</v>
      </c>
      <c r="D2" s="1"/>
      <c r="E2" s="1"/>
      <c r="F2" s="1"/>
    </row>
    <row r="3" spans="1:96">
      <c r="A3" s="1"/>
    </row>
    <row r="4" spans="1:96" ht="15.75">
      <c r="A4" s="65" t="s">
        <v>713</v>
      </c>
      <c r="B4" s="65"/>
      <c r="C4" s="65"/>
      <c r="D4" s="65"/>
      <c r="E4" s="65"/>
      <c r="F4" s="65"/>
      <c r="G4" s="65"/>
      <c r="H4" s="65"/>
      <c r="I4" s="65"/>
      <c r="J4" s="65" t="s">
        <v>715</v>
      </c>
      <c r="K4" s="65"/>
      <c r="L4" s="65"/>
      <c r="M4" s="65"/>
      <c r="N4" s="65"/>
      <c r="O4" s="65"/>
      <c r="P4" s="65"/>
      <c r="Q4" s="65"/>
      <c r="R4" s="65" t="s">
        <v>716</v>
      </c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180"/>
      <c r="BF4" s="180"/>
      <c r="BG4" s="180"/>
      <c r="BH4" s="180"/>
      <c r="BI4" s="180"/>
      <c r="BJ4" s="180"/>
      <c r="BK4" s="143"/>
      <c r="BL4" s="143"/>
      <c r="BM4" s="180"/>
      <c r="BN4" s="180"/>
      <c r="BO4" s="180"/>
      <c r="BP4" s="180"/>
      <c r="BQ4" s="180"/>
      <c r="BR4" s="180"/>
      <c r="BS4" s="143"/>
      <c r="BT4" s="143" t="s">
        <v>717</v>
      </c>
      <c r="BU4" s="180"/>
      <c r="BV4" s="180"/>
      <c r="BW4" s="180"/>
      <c r="BX4" s="180"/>
      <c r="BY4" s="180"/>
      <c r="BZ4" s="180"/>
      <c r="CA4" s="171"/>
      <c r="CB4" s="171"/>
      <c r="CC4" s="171"/>
      <c r="CD4" s="171"/>
      <c r="CE4" s="171"/>
      <c r="CF4" s="171"/>
      <c r="CG4" s="171"/>
      <c r="CH4" s="171"/>
      <c r="CI4" s="171"/>
      <c r="CJ4" s="171"/>
      <c r="CK4" s="171"/>
      <c r="CL4" s="171"/>
      <c r="CM4" s="171"/>
      <c r="CN4" s="171"/>
      <c r="CO4" s="171"/>
      <c r="CP4" s="171"/>
      <c r="CQ4" s="171"/>
      <c r="CR4" s="171"/>
    </row>
    <row r="5" spans="1:96" ht="15.75">
      <c r="A5" s="41" t="s">
        <v>219</v>
      </c>
      <c r="B5" s="65"/>
      <c r="C5" s="180" t="s">
        <v>220</v>
      </c>
      <c r="D5" s="180"/>
      <c r="E5" s="180"/>
      <c r="F5" s="180" t="s">
        <v>221</v>
      </c>
      <c r="G5" s="180"/>
      <c r="H5" s="180"/>
      <c r="I5" s="143"/>
      <c r="J5" s="143"/>
      <c r="K5" s="180" t="s">
        <v>220</v>
      </c>
      <c r="L5" s="180"/>
      <c r="M5" s="180"/>
      <c r="N5" s="180" t="s">
        <v>221</v>
      </c>
      <c r="O5" s="180"/>
      <c r="P5" s="180"/>
      <c r="Q5" s="143"/>
      <c r="R5" s="143"/>
      <c r="S5" s="180" t="s">
        <v>220</v>
      </c>
      <c r="T5" s="180"/>
      <c r="U5" s="180"/>
      <c r="V5" s="180" t="s">
        <v>221</v>
      </c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</row>
    <row r="6" spans="1:96" ht="15.75">
      <c r="A6" s="41" t="s">
        <v>204</v>
      </c>
      <c r="B6" s="65"/>
      <c r="C6" s="180" t="s">
        <v>220</v>
      </c>
      <c r="D6" s="180"/>
      <c r="E6" s="180"/>
      <c r="F6" s="180" t="s">
        <v>221</v>
      </c>
      <c r="G6" s="180"/>
      <c r="H6" s="180"/>
      <c r="I6" s="143"/>
      <c r="J6" s="143"/>
      <c r="K6" s="180" t="s">
        <v>220</v>
      </c>
      <c r="L6" s="180"/>
      <c r="M6" s="180"/>
      <c r="N6" s="180" t="s">
        <v>221</v>
      </c>
      <c r="O6" s="180"/>
      <c r="P6" s="180"/>
      <c r="Q6" s="143"/>
      <c r="R6" s="143"/>
      <c r="S6" s="180" t="s">
        <v>220</v>
      </c>
      <c r="T6" s="180"/>
      <c r="U6" s="180"/>
      <c r="V6" s="180" t="s">
        <v>221</v>
      </c>
      <c r="W6" s="180"/>
      <c r="X6" s="180"/>
      <c r="Y6" s="180"/>
      <c r="Z6" s="180"/>
      <c r="AA6" s="180"/>
      <c r="AB6" s="180"/>
      <c r="AC6" s="180"/>
      <c r="AD6" s="180"/>
      <c r="AE6" s="180"/>
      <c r="AF6" s="180"/>
      <c r="AG6" s="180"/>
      <c r="AH6" s="180"/>
      <c r="AI6" s="180"/>
      <c r="AJ6" s="180"/>
      <c r="AK6" s="180"/>
      <c r="AL6" s="180"/>
      <c r="AM6" s="180"/>
      <c r="AN6" s="180"/>
      <c r="AO6" s="180"/>
      <c r="AP6" s="180"/>
    </row>
    <row r="7" spans="1:96" ht="15.75">
      <c r="A7" s="41"/>
      <c r="B7" s="1" t="s">
        <v>707</v>
      </c>
      <c r="C7" s="1" t="s">
        <v>704</v>
      </c>
      <c r="D7" s="1" t="s">
        <v>705</v>
      </c>
      <c r="E7" s="1" t="s">
        <v>706</v>
      </c>
      <c r="F7" s="1" t="s">
        <v>704</v>
      </c>
      <c r="G7" s="1" t="s">
        <v>705</v>
      </c>
      <c r="H7" s="1" t="s">
        <v>706</v>
      </c>
      <c r="J7" s="1" t="s">
        <v>707</v>
      </c>
      <c r="K7" s="1" t="s">
        <v>704</v>
      </c>
      <c r="L7" s="1" t="s">
        <v>705</v>
      </c>
      <c r="M7" s="1" t="s">
        <v>706</v>
      </c>
      <c r="N7" s="1" t="s">
        <v>704</v>
      </c>
      <c r="O7" s="1" t="s">
        <v>705</v>
      </c>
      <c r="P7" s="1" t="s">
        <v>706</v>
      </c>
      <c r="R7" t="s">
        <v>707</v>
      </c>
      <c r="S7" t="s">
        <v>704</v>
      </c>
      <c r="T7" t="s">
        <v>705</v>
      </c>
      <c r="U7" t="s">
        <v>706</v>
      </c>
      <c r="V7" t="s">
        <v>704</v>
      </c>
      <c r="W7" t="s">
        <v>705</v>
      </c>
      <c r="X7" t="s">
        <v>706</v>
      </c>
    </row>
    <row r="8" spans="1:96">
      <c r="A8" s="169" t="s">
        <v>575</v>
      </c>
      <c r="B8" s="1" t="s">
        <v>708</v>
      </c>
      <c r="C8" s="144">
        <v>31608</v>
      </c>
      <c r="D8" s="145" t="s">
        <v>714</v>
      </c>
      <c r="E8" s="145">
        <v>100</v>
      </c>
      <c r="F8" s="144">
        <v>35063</v>
      </c>
      <c r="G8" s="145" t="s">
        <v>714</v>
      </c>
      <c r="H8" s="145">
        <v>100</v>
      </c>
      <c r="I8" s="145"/>
      <c r="J8" s="1" t="s">
        <v>708</v>
      </c>
      <c r="K8" s="144">
        <v>30136</v>
      </c>
      <c r="L8" s="145" t="s">
        <v>714</v>
      </c>
      <c r="M8" s="145">
        <v>100</v>
      </c>
      <c r="N8" s="144">
        <v>342433</v>
      </c>
      <c r="O8" s="145" t="s">
        <v>714</v>
      </c>
      <c r="P8" s="145">
        <v>100</v>
      </c>
      <c r="Q8" s="145"/>
      <c r="R8" s="1" t="s">
        <v>708</v>
      </c>
      <c r="S8" s="144">
        <v>33285</v>
      </c>
      <c r="T8" s="145" t="s">
        <v>714</v>
      </c>
      <c r="U8" s="145">
        <v>100</v>
      </c>
      <c r="V8" s="144">
        <v>37155</v>
      </c>
      <c r="W8" s="145" t="s">
        <v>714</v>
      </c>
      <c r="X8" s="145">
        <v>100</v>
      </c>
      <c r="Y8" s="144"/>
      <c r="Z8" s="145"/>
      <c r="AA8" s="145"/>
      <c r="AB8" s="144"/>
      <c r="AC8" s="145"/>
      <c r="AD8" s="145"/>
      <c r="AE8" s="144"/>
      <c r="AF8" s="145"/>
      <c r="AG8" s="145"/>
      <c r="AH8" s="144"/>
      <c r="AI8" s="145"/>
      <c r="AJ8" s="145"/>
      <c r="AK8" s="144"/>
      <c r="AL8" s="145"/>
      <c r="AM8" s="145"/>
      <c r="AN8" s="144"/>
      <c r="AO8" s="145"/>
      <c r="AP8" s="145"/>
    </row>
    <row r="9" spans="1:96">
      <c r="A9" s="169"/>
      <c r="B9" s="1" t="s">
        <v>709</v>
      </c>
      <c r="C9" s="144">
        <v>20000</v>
      </c>
      <c r="D9" s="145">
        <v>63.3</v>
      </c>
      <c r="E9" s="145">
        <v>63.3</v>
      </c>
      <c r="F9" s="144">
        <v>20000</v>
      </c>
      <c r="G9" s="145">
        <v>57</v>
      </c>
      <c r="H9" s="145">
        <v>57</v>
      </c>
      <c r="I9" s="145"/>
      <c r="J9" s="1" t="s">
        <v>709</v>
      </c>
      <c r="K9" s="144">
        <v>20000</v>
      </c>
      <c r="L9" s="145">
        <v>66.400000000000006</v>
      </c>
      <c r="M9" s="145">
        <v>66.400000000000006</v>
      </c>
      <c r="N9" s="144">
        <v>20000</v>
      </c>
      <c r="O9" s="145">
        <v>58.4</v>
      </c>
      <c r="P9" s="145">
        <v>58.4</v>
      </c>
      <c r="Q9" s="145"/>
      <c r="R9" s="1" t="s">
        <v>709</v>
      </c>
      <c r="S9" s="144">
        <v>20000</v>
      </c>
      <c r="T9" s="145">
        <v>60.1</v>
      </c>
      <c r="U9" s="145">
        <v>60.1</v>
      </c>
      <c r="V9" s="144">
        <v>20000</v>
      </c>
      <c r="W9" s="145">
        <v>53.8</v>
      </c>
      <c r="X9" s="145">
        <v>53.8</v>
      </c>
      <c r="Y9" s="144"/>
      <c r="Z9" s="145"/>
      <c r="AA9" s="145"/>
      <c r="AB9" s="144"/>
      <c r="AC9" s="145"/>
      <c r="AD9" s="145"/>
      <c r="AE9" s="144"/>
      <c r="AF9" s="145"/>
      <c r="AG9" s="145"/>
      <c r="AH9" s="144"/>
      <c r="AI9" s="145"/>
      <c r="AJ9" s="145"/>
      <c r="AK9" s="144"/>
      <c r="AL9" s="145"/>
      <c r="AM9" s="145"/>
      <c r="AN9" s="144"/>
      <c r="AO9" s="145"/>
      <c r="AP9" s="145"/>
    </row>
    <row r="10" spans="1:96">
      <c r="A10" s="169"/>
      <c r="B10" s="1" t="s">
        <v>710</v>
      </c>
      <c r="C10" s="144">
        <v>19636</v>
      </c>
      <c r="D10" s="145">
        <v>98.2</v>
      </c>
      <c r="E10" s="145">
        <v>62.1</v>
      </c>
      <c r="F10" s="144">
        <v>17434</v>
      </c>
      <c r="G10" s="145">
        <v>87.2</v>
      </c>
      <c r="H10" s="145">
        <v>49.7</v>
      </c>
      <c r="I10" s="145"/>
      <c r="J10" s="1" t="s">
        <v>710</v>
      </c>
      <c r="K10" s="144">
        <v>19699</v>
      </c>
      <c r="L10" s="145">
        <v>98.5</v>
      </c>
      <c r="M10" s="145">
        <v>65.400000000000006</v>
      </c>
      <c r="N10" s="144">
        <v>17221</v>
      </c>
      <c r="O10" s="145">
        <v>86.1</v>
      </c>
      <c r="P10" s="145">
        <v>50.3</v>
      </c>
      <c r="Q10" s="145"/>
      <c r="R10" s="1" t="s">
        <v>710</v>
      </c>
      <c r="S10" s="144">
        <v>19547</v>
      </c>
      <c r="T10" s="144">
        <v>97.7</v>
      </c>
      <c r="U10" s="145">
        <v>58.7</v>
      </c>
      <c r="V10" s="144">
        <v>17063</v>
      </c>
      <c r="W10" s="145">
        <v>85.3</v>
      </c>
      <c r="X10" s="145">
        <v>45.9</v>
      </c>
      <c r="Y10" s="144"/>
      <c r="Z10" s="145"/>
      <c r="AA10" s="145"/>
      <c r="AB10" s="144"/>
      <c r="AC10" s="145"/>
      <c r="AD10" s="145"/>
      <c r="AE10" s="144"/>
      <c r="AF10" s="145"/>
      <c r="AG10" s="145"/>
      <c r="AH10" s="144"/>
      <c r="AI10" s="145"/>
      <c r="AJ10" s="145"/>
      <c r="AK10" s="144"/>
      <c r="AL10" s="145"/>
      <c r="AM10" s="145"/>
      <c r="AN10" s="144"/>
      <c r="AO10" s="145"/>
      <c r="AP10" s="145"/>
    </row>
    <row r="11" spans="1:96">
      <c r="A11" s="169"/>
      <c r="B11" s="1" t="s">
        <v>712</v>
      </c>
      <c r="C11" s="144">
        <v>1100</v>
      </c>
      <c r="D11" s="145">
        <v>5.6</v>
      </c>
      <c r="E11" s="145">
        <v>3.5</v>
      </c>
      <c r="F11" s="145">
        <v>459</v>
      </c>
      <c r="G11" s="145">
        <v>2.6</v>
      </c>
      <c r="H11" s="145">
        <v>1.3</v>
      </c>
      <c r="I11" s="145"/>
      <c r="J11" s="1" t="s">
        <v>712</v>
      </c>
      <c r="K11" s="144">
        <v>1077</v>
      </c>
      <c r="L11" s="145">
        <v>5.5</v>
      </c>
      <c r="M11" s="145">
        <v>3.6</v>
      </c>
      <c r="N11" s="144">
        <v>491</v>
      </c>
      <c r="O11" s="145">
        <v>2.9</v>
      </c>
      <c r="P11" s="145">
        <v>1.4</v>
      </c>
      <c r="Q11" s="145"/>
      <c r="R11" s="1" t="s">
        <v>712</v>
      </c>
      <c r="S11" s="144">
        <v>1107</v>
      </c>
      <c r="T11" s="145">
        <v>5.7</v>
      </c>
      <c r="U11" s="144">
        <v>3.3</v>
      </c>
      <c r="V11" s="144">
        <v>465</v>
      </c>
      <c r="W11" s="145">
        <v>2.7</v>
      </c>
      <c r="X11" s="145">
        <v>1.3</v>
      </c>
      <c r="Y11" s="145"/>
      <c r="Z11" s="145"/>
      <c r="AA11" s="145"/>
      <c r="AB11" s="144"/>
      <c r="AC11" s="145"/>
      <c r="AD11" s="145"/>
      <c r="AE11" s="145"/>
      <c r="AF11" s="145"/>
      <c r="AG11" s="145"/>
      <c r="AH11" s="144"/>
      <c r="AI11" s="145"/>
      <c r="AJ11" s="145"/>
      <c r="AK11" s="145"/>
      <c r="AL11" s="145"/>
      <c r="AM11" s="145"/>
      <c r="AN11" s="144"/>
      <c r="AO11" s="145"/>
      <c r="AP11" s="145"/>
    </row>
    <row r="12" spans="1:96">
      <c r="A12" s="1"/>
      <c r="D12" s="123"/>
      <c r="G12" s="123"/>
      <c r="L12" s="123"/>
      <c r="O12" s="123"/>
      <c r="T12" s="123"/>
    </row>
    <row r="13" spans="1:96">
      <c r="A13" s="1"/>
      <c r="D13" s="38"/>
      <c r="G13" s="38"/>
      <c r="L13" s="38"/>
      <c r="O13" s="39"/>
      <c r="T13" s="39"/>
    </row>
    <row r="14" spans="1:96" ht="15.75">
      <c r="A14" s="65" t="s">
        <v>713</v>
      </c>
      <c r="B14" s="65"/>
      <c r="C14" s="65"/>
      <c r="D14" s="65"/>
      <c r="E14" s="65"/>
      <c r="F14" s="65"/>
      <c r="G14" s="65"/>
      <c r="H14" s="65"/>
      <c r="I14" s="65"/>
      <c r="J14" s="65" t="s">
        <v>715</v>
      </c>
      <c r="K14" s="65"/>
      <c r="L14" s="65"/>
      <c r="M14" s="65"/>
      <c r="N14" s="65"/>
      <c r="O14" s="65"/>
      <c r="P14" s="65"/>
      <c r="Q14" s="65"/>
      <c r="R14" s="65" t="s">
        <v>716</v>
      </c>
      <c r="S14" s="65"/>
      <c r="T14" s="65"/>
      <c r="U14" s="65"/>
      <c r="V14" s="65"/>
      <c r="W14" s="65"/>
      <c r="X14" s="65"/>
    </row>
    <row r="15" spans="1:96" ht="15.75">
      <c r="A15" s="41" t="s">
        <v>219</v>
      </c>
      <c r="B15" s="65"/>
      <c r="C15" s="180" t="s">
        <v>220</v>
      </c>
      <c r="D15" s="180"/>
      <c r="E15" s="180"/>
      <c r="F15" s="180" t="s">
        <v>221</v>
      </c>
      <c r="G15" s="180"/>
      <c r="H15" s="180"/>
      <c r="I15" s="143"/>
      <c r="J15" s="143"/>
      <c r="K15" s="180" t="s">
        <v>220</v>
      </c>
      <c r="L15" s="180"/>
      <c r="M15" s="180"/>
      <c r="N15" s="180" t="s">
        <v>221</v>
      </c>
      <c r="O15" s="180"/>
      <c r="P15" s="180"/>
      <c r="Q15" s="143"/>
      <c r="R15" s="143"/>
      <c r="S15" s="180" t="s">
        <v>220</v>
      </c>
      <c r="T15" s="180"/>
      <c r="U15" s="180"/>
      <c r="V15" s="180" t="s">
        <v>221</v>
      </c>
      <c r="W15" s="180"/>
      <c r="X15" s="180"/>
    </row>
    <row r="16" spans="1:96" ht="15.75">
      <c r="A16" s="41" t="s">
        <v>204</v>
      </c>
      <c r="B16" s="65"/>
      <c r="C16" s="180" t="s">
        <v>220</v>
      </c>
      <c r="D16" s="180"/>
      <c r="E16" s="180"/>
      <c r="F16" s="180" t="s">
        <v>221</v>
      </c>
      <c r="G16" s="180"/>
      <c r="H16" s="180"/>
      <c r="I16" s="143"/>
      <c r="J16" s="143"/>
      <c r="K16" s="180" t="s">
        <v>220</v>
      </c>
      <c r="L16" s="180"/>
      <c r="M16" s="180"/>
      <c r="N16" s="180" t="s">
        <v>221</v>
      </c>
      <c r="O16" s="180"/>
      <c r="P16" s="180"/>
      <c r="Q16" s="143"/>
      <c r="R16" s="143"/>
      <c r="S16" s="180" t="s">
        <v>220</v>
      </c>
      <c r="T16" s="180"/>
      <c r="U16" s="180"/>
      <c r="V16" s="180" t="s">
        <v>221</v>
      </c>
      <c r="W16" s="180"/>
      <c r="X16" s="180"/>
    </row>
    <row r="17" spans="1:24" ht="15.75">
      <c r="A17" s="41"/>
      <c r="B17" s="1" t="s">
        <v>707</v>
      </c>
      <c r="C17" s="1" t="s">
        <v>704</v>
      </c>
      <c r="D17" s="1" t="s">
        <v>705</v>
      </c>
      <c r="E17" s="1" t="s">
        <v>706</v>
      </c>
      <c r="F17" s="1" t="s">
        <v>704</v>
      </c>
      <c r="G17" s="1" t="s">
        <v>705</v>
      </c>
      <c r="H17" s="1" t="s">
        <v>706</v>
      </c>
      <c r="J17" s="1" t="s">
        <v>707</v>
      </c>
      <c r="K17" s="1" t="s">
        <v>704</v>
      </c>
      <c r="L17" s="1" t="s">
        <v>705</v>
      </c>
      <c r="M17" s="1" t="s">
        <v>706</v>
      </c>
      <c r="N17" s="1" t="s">
        <v>704</v>
      </c>
      <c r="O17" s="1" t="s">
        <v>705</v>
      </c>
      <c r="P17" s="1" t="s">
        <v>706</v>
      </c>
      <c r="R17" t="s">
        <v>707</v>
      </c>
      <c r="S17" t="s">
        <v>704</v>
      </c>
      <c r="T17" t="s">
        <v>705</v>
      </c>
      <c r="U17" t="s">
        <v>706</v>
      </c>
      <c r="V17" t="s">
        <v>704</v>
      </c>
      <c r="W17" t="s">
        <v>705</v>
      </c>
      <c r="X17" t="s">
        <v>706</v>
      </c>
    </row>
    <row r="18" spans="1:24">
      <c r="A18" s="169" t="s">
        <v>718</v>
      </c>
      <c r="B18" s="1" t="s">
        <v>708</v>
      </c>
      <c r="C18" s="144">
        <v>21856</v>
      </c>
      <c r="D18" s="145" t="s">
        <v>714</v>
      </c>
      <c r="E18" s="145">
        <v>100</v>
      </c>
      <c r="F18" s="144">
        <v>24937</v>
      </c>
      <c r="G18" s="145" t="s">
        <v>714</v>
      </c>
      <c r="H18" s="145">
        <v>100</v>
      </c>
      <c r="I18" s="145"/>
      <c r="J18" s="1" t="s">
        <v>708</v>
      </c>
      <c r="K18" s="144">
        <v>20294</v>
      </c>
      <c r="L18" s="145" t="s">
        <v>714</v>
      </c>
      <c r="M18" s="145">
        <v>100</v>
      </c>
      <c r="N18" s="144">
        <v>31870</v>
      </c>
      <c r="O18" s="145" t="s">
        <v>714</v>
      </c>
      <c r="P18" s="145">
        <v>100</v>
      </c>
      <c r="Q18" s="145"/>
      <c r="R18" s="1" t="s">
        <v>708</v>
      </c>
      <c r="S18" s="144">
        <v>31114</v>
      </c>
      <c r="T18" s="145" t="s">
        <v>714</v>
      </c>
      <c r="U18" s="145">
        <v>100</v>
      </c>
      <c r="V18" s="144">
        <v>31271</v>
      </c>
      <c r="W18" s="145" t="s">
        <v>714</v>
      </c>
      <c r="X18" s="145">
        <v>100</v>
      </c>
    </row>
    <row r="19" spans="1:24">
      <c r="A19" s="169"/>
      <c r="B19" s="1" t="s">
        <v>709</v>
      </c>
      <c r="C19" s="144">
        <v>13903</v>
      </c>
      <c r="D19" s="145">
        <v>63.6</v>
      </c>
      <c r="E19" s="145">
        <v>63.6</v>
      </c>
      <c r="F19" s="144">
        <v>16256</v>
      </c>
      <c r="G19" s="145">
        <v>65.2</v>
      </c>
      <c r="H19" s="145">
        <v>65.2</v>
      </c>
      <c r="I19" s="145"/>
      <c r="J19" s="1" t="s">
        <v>709</v>
      </c>
      <c r="K19" s="144">
        <v>13749</v>
      </c>
      <c r="L19" s="145">
        <v>67.7</v>
      </c>
      <c r="M19" s="145">
        <v>67.7</v>
      </c>
      <c r="N19" s="144">
        <v>20000</v>
      </c>
      <c r="O19" s="145">
        <v>62.8</v>
      </c>
      <c r="P19" s="145">
        <v>62.8</v>
      </c>
      <c r="Q19" s="145"/>
      <c r="R19" s="1" t="s">
        <v>709</v>
      </c>
      <c r="S19" s="144">
        <v>20432</v>
      </c>
      <c r="T19" s="145">
        <v>65.7</v>
      </c>
      <c r="U19" s="145">
        <v>65.7</v>
      </c>
      <c r="V19" s="144">
        <v>20000</v>
      </c>
      <c r="W19" s="145">
        <v>64</v>
      </c>
      <c r="X19" s="145">
        <v>64</v>
      </c>
    </row>
    <row r="20" spans="1:24">
      <c r="A20" s="169"/>
      <c r="B20" s="1" t="s">
        <v>710</v>
      </c>
      <c r="C20" s="144">
        <v>13606</v>
      </c>
      <c r="D20" s="145">
        <v>97.9</v>
      </c>
      <c r="E20" s="145">
        <v>62.3</v>
      </c>
      <c r="F20" s="144">
        <v>14998</v>
      </c>
      <c r="G20" s="145">
        <v>92.3</v>
      </c>
      <c r="H20" s="145">
        <v>60.1</v>
      </c>
      <c r="I20" s="145"/>
      <c r="J20" s="1" t="s">
        <v>710</v>
      </c>
      <c r="K20" s="144">
        <v>13350</v>
      </c>
      <c r="L20" s="145">
        <v>97.1</v>
      </c>
      <c r="M20" s="145">
        <v>65.8</v>
      </c>
      <c r="N20" s="144" t="s">
        <v>719</v>
      </c>
      <c r="O20" s="145">
        <v>91.7</v>
      </c>
      <c r="P20" s="145">
        <v>57.5</v>
      </c>
      <c r="Q20" s="145"/>
      <c r="R20" s="1" t="s">
        <v>710</v>
      </c>
      <c r="S20" s="144">
        <v>19914</v>
      </c>
      <c r="T20" s="144">
        <v>97.5</v>
      </c>
      <c r="U20" s="145">
        <v>64</v>
      </c>
      <c r="V20" s="144">
        <v>18172</v>
      </c>
      <c r="W20" s="145">
        <v>90.9</v>
      </c>
      <c r="X20" s="145">
        <v>58.1</v>
      </c>
    </row>
    <row r="21" spans="1:24">
      <c r="A21" s="169"/>
      <c r="B21" s="1" t="s">
        <v>712</v>
      </c>
      <c r="C21" s="144">
        <v>1242</v>
      </c>
      <c r="D21" s="145">
        <v>9.1</v>
      </c>
      <c r="E21" s="145">
        <v>5.7</v>
      </c>
      <c r="F21" s="144">
        <v>1268</v>
      </c>
      <c r="G21" s="145">
        <v>8.5</v>
      </c>
      <c r="H21" s="145">
        <v>5.0999999999999996</v>
      </c>
      <c r="I21" s="145"/>
      <c r="J21" s="1" t="s">
        <v>712</v>
      </c>
      <c r="K21" s="144">
        <v>1233</v>
      </c>
      <c r="L21" s="145">
        <v>9.1999999999999993</v>
      </c>
      <c r="M21" s="145">
        <v>6.1</v>
      </c>
      <c r="N21" s="144">
        <v>1706</v>
      </c>
      <c r="O21" s="145">
        <v>9.3000000000000007</v>
      </c>
      <c r="P21" s="145">
        <v>5.4</v>
      </c>
      <c r="Q21" s="145"/>
      <c r="R21" s="1" t="s">
        <v>712</v>
      </c>
      <c r="S21" s="144">
        <v>1746</v>
      </c>
      <c r="T21" s="145">
        <v>8.8000000000000007</v>
      </c>
      <c r="U21" s="144">
        <v>5.6</v>
      </c>
      <c r="V21" s="144">
        <v>1780</v>
      </c>
      <c r="W21" s="145">
        <v>9.8000000000000007</v>
      </c>
      <c r="X21" s="145">
        <v>5.7</v>
      </c>
    </row>
    <row r="22" spans="1:24">
      <c r="A22" s="1"/>
    </row>
    <row r="23" spans="1:24">
      <c r="A23" s="1"/>
    </row>
    <row r="24" spans="1:24" ht="15.75">
      <c r="A24" s="65" t="s">
        <v>713</v>
      </c>
      <c r="B24" s="65"/>
      <c r="C24" s="65"/>
      <c r="D24" s="65"/>
      <c r="E24" s="65"/>
      <c r="F24" s="65"/>
      <c r="G24" s="65"/>
      <c r="H24" s="65"/>
      <c r="I24" s="65"/>
      <c r="J24" s="65" t="s">
        <v>715</v>
      </c>
      <c r="K24" s="65"/>
      <c r="L24" s="65"/>
      <c r="M24" s="65"/>
      <c r="N24" s="65"/>
      <c r="O24" s="65"/>
      <c r="P24" s="65"/>
      <c r="Q24" s="65"/>
      <c r="R24" s="65" t="s">
        <v>716</v>
      </c>
      <c r="S24" s="65"/>
      <c r="T24" s="65"/>
      <c r="U24" s="65"/>
      <c r="V24" s="65"/>
      <c r="W24" s="65"/>
      <c r="X24" s="65"/>
    </row>
    <row r="25" spans="1:24" ht="15.75">
      <c r="A25" s="41" t="s">
        <v>219</v>
      </c>
      <c r="B25" s="65"/>
      <c r="C25" s="180" t="s">
        <v>220</v>
      </c>
      <c r="D25" s="180"/>
      <c r="E25" s="180"/>
      <c r="F25" s="180" t="s">
        <v>221</v>
      </c>
      <c r="G25" s="180"/>
      <c r="H25" s="180"/>
      <c r="I25" s="143"/>
      <c r="J25" s="143"/>
      <c r="K25" s="180" t="s">
        <v>220</v>
      </c>
      <c r="L25" s="180"/>
      <c r="M25" s="180"/>
      <c r="N25" s="180" t="s">
        <v>221</v>
      </c>
      <c r="O25" s="180"/>
      <c r="P25" s="180"/>
      <c r="Q25" s="143"/>
      <c r="R25" s="143"/>
      <c r="S25" s="180" t="s">
        <v>220</v>
      </c>
      <c r="T25" s="180"/>
      <c r="U25" s="180"/>
      <c r="V25" s="180" t="s">
        <v>221</v>
      </c>
      <c r="W25" s="180"/>
      <c r="X25" s="180"/>
    </row>
    <row r="26" spans="1:24" ht="15.75">
      <c r="A26" s="41" t="s">
        <v>204</v>
      </c>
      <c r="B26" s="65"/>
      <c r="C26" s="180" t="s">
        <v>220</v>
      </c>
      <c r="D26" s="180"/>
      <c r="E26" s="180"/>
      <c r="F26" s="180" t="s">
        <v>221</v>
      </c>
      <c r="G26" s="180"/>
      <c r="H26" s="180"/>
      <c r="I26" s="143"/>
      <c r="J26" s="143"/>
      <c r="K26" s="180" t="s">
        <v>220</v>
      </c>
      <c r="L26" s="180"/>
      <c r="M26" s="180"/>
      <c r="N26" s="180" t="s">
        <v>221</v>
      </c>
      <c r="O26" s="180"/>
      <c r="P26" s="180"/>
      <c r="Q26" s="143"/>
      <c r="R26" s="143"/>
      <c r="S26" s="180" t="s">
        <v>220</v>
      </c>
      <c r="T26" s="180"/>
      <c r="U26" s="180"/>
      <c r="V26" s="180" t="s">
        <v>221</v>
      </c>
      <c r="W26" s="180"/>
      <c r="X26" s="180"/>
    </row>
    <row r="27" spans="1:24" ht="15.75">
      <c r="A27" s="41"/>
      <c r="B27" s="1" t="s">
        <v>707</v>
      </c>
      <c r="C27" s="1" t="s">
        <v>704</v>
      </c>
      <c r="D27" s="1" t="s">
        <v>705</v>
      </c>
      <c r="E27" s="1" t="s">
        <v>706</v>
      </c>
      <c r="F27" s="1" t="s">
        <v>704</v>
      </c>
      <c r="G27" s="1" t="s">
        <v>705</v>
      </c>
      <c r="H27" s="1" t="s">
        <v>706</v>
      </c>
      <c r="J27" s="1" t="s">
        <v>707</v>
      </c>
      <c r="K27" s="1" t="s">
        <v>704</v>
      </c>
      <c r="L27" s="1" t="s">
        <v>705</v>
      </c>
      <c r="M27" s="1" t="s">
        <v>706</v>
      </c>
      <c r="N27" s="1" t="s">
        <v>704</v>
      </c>
      <c r="O27" s="1" t="s">
        <v>705</v>
      </c>
      <c r="P27" s="1" t="s">
        <v>706</v>
      </c>
      <c r="R27" t="s">
        <v>707</v>
      </c>
      <c r="S27" t="s">
        <v>704</v>
      </c>
      <c r="T27" t="s">
        <v>705</v>
      </c>
      <c r="U27" t="s">
        <v>706</v>
      </c>
      <c r="V27" t="s">
        <v>704</v>
      </c>
      <c r="W27" t="s">
        <v>705</v>
      </c>
      <c r="X27" t="s">
        <v>706</v>
      </c>
    </row>
    <row r="28" spans="1:24">
      <c r="A28" s="169" t="s">
        <v>573</v>
      </c>
      <c r="B28" s="1" t="s">
        <v>708</v>
      </c>
      <c r="C28" s="144">
        <v>30334</v>
      </c>
      <c r="D28" s="145" t="s">
        <v>714</v>
      </c>
      <c r="E28" s="145">
        <v>100</v>
      </c>
      <c r="F28" s="144">
        <v>38569</v>
      </c>
      <c r="G28" s="145" t="s">
        <v>714</v>
      </c>
      <c r="H28" s="145">
        <v>100</v>
      </c>
      <c r="I28" s="145"/>
      <c r="J28" s="1" t="s">
        <v>708</v>
      </c>
      <c r="K28" s="144">
        <v>26457</v>
      </c>
      <c r="L28" s="145" t="s">
        <v>714</v>
      </c>
      <c r="M28" s="145">
        <v>100</v>
      </c>
      <c r="N28" s="144">
        <v>39693</v>
      </c>
      <c r="O28" s="145" t="s">
        <v>714</v>
      </c>
      <c r="P28" s="145">
        <v>100</v>
      </c>
      <c r="Q28" s="145"/>
      <c r="R28" s="1" t="s">
        <v>708</v>
      </c>
      <c r="S28" s="144">
        <v>29237</v>
      </c>
      <c r="T28" s="145" t="s">
        <v>714</v>
      </c>
      <c r="U28" s="145">
        <v>100</v>
      </c>
      <c r="V28" s="144">
        <v>39804</v>
      </c>
      <c r="W28" s="145" t="s">
        <v>714</v>
      </c>
      <c r="X28" s="145">
        <v>100</v>
      </c>
    </row>
    <row r="29" spans="1:24">
      <c r="A29" s="169"/>
      <c r="B29" s="1" t="s">
        <v>709</v>
      </c>
      <c r="C29" s="144">
        <v>20430</v>
      </c>
      <c r="D29" s="145">
        <v>67.400000000000006</v>
      </c>
      <c r="E29" s="145">
        <v>67.400000000000006</v>
      </c>
      <c r="F29" s="144">
        <v>20000</v>
      </c>
      <c r="G29" s="145">
        <v>51.9</v>
      </c>
      <c r="H29" s="145">
        <v>51.9</v>
      </c>
      <c r="I29" s="145"/>
      <c r="J29" s="1" t="s">
        <v>709</v>
      </c>
      <c r="K29" s="144">
        <v>17876</v>
      </c>
      <c r="L29" s="145">
        <v>67.599999999999994</v>
      </c>
      <c r="M29" s="145">
        <v>67.599999999999994</v>
      </c>
      <c r="N29" s="144">
        <v>20000</v>
      </c>
      <c r="O29" s="145">
        <v>50.4</v>
      </c>
      <c r="P29" s="145">
        <v>50.4</v>
      </c>
      <c r="Q29" s="145"/>
      <c r="R29" s="1" t="s">
        <v>709</v>
      </c>
      <c r="S29" s="144">
        <v>17885</v>
      </c>
      <c r="T29" s="145">
        <v>61.2</v>
      </c>
      <c r="U29" s="145">
        <v>61.2</v>
      </c>
      <c r="V29" s="144">
        <v>20000</v>
      </c>
      <c r="W29" s="145">
        <v>50.2</v>
      </c>
      <c r="X29" s="145">
        <v>50.2</v>
      </c>
    </row>
    <row r="30" spans="1:24">
      <c r="A30" s="169"/>
      <c r="B30" s="1" t="s">
        <v>710</v>
      </c>
      <c r="C30" s="144">
        <v>19942</v>
      </c>
      <c r="D30" s="145">
        <v>97.6</v>
      </c>
      <c r="E30" s="145">
        <v>65.7</v>
      </c>
      <c r="F30" s="144">
        <v>18516</v>
      </c>
      <c r="G30" s="145">
        <v>92.6</v>
      </c>
      <c r="H30" s="145">
        <v>48</v>
      </c>
      <c r="I30" s="145"/>
      <c r="J30" s="1" t="s">
        <v>710</v>
      </c>
      <c r="K30" s="144">
        <v>17340</v>
      </c>
      <c r="L30" s="145">
        <v>97</v>
      </c>
      <c r="M30" s="145">
        <v>65.5</v>
      </c>
      <c r="N30" s="144">
        <v>17068</v>
      </c>
      <c r="O30" s="145">
        <v>85.3</v>
      </c>
      <c r="P30" s="145">
        <v>43</v>
      </c>
      <c r="Q30" s="145"/>
      <c r="R30" s="1" t="s">
        <v>710</v>
      </c>
      <c r="S30" s="144">
        <v>17473</v>
      </c>
      <c r="T30" s="144">
        <v>97.7</v>
      </c>
      <c r="U30" s="145">
        <v>59.8</v>
      </c>
      <c r="V30" s="144">
        <v>18442</v>
      </c>
      <c r="W30" s="145">
        <v>92.2</v>
      </c>
      <c r="X30" s="145">
        <v>46.3</v>
      </c>
    </row>
    <row r="31" spans="1:24">
      <c r="A31" s="169"/>
      <c r="B31" s="1" t="s">
        <v>712</v>
      </c>
      <c r="C31" s="144">
        <v>1573</v>
      </c>
      <c r="D31" s="145">
        <v>7.9</v>
      </c>
      <c r="E31" s="145">
        <v>5.2</v>
      </c>
      <c r="F31" s="144">
        <v>1845</v>
      </c>
      <c r="G31" s="145">
        <v>10</v>
      </c>
      <c r="H31" s="145">
        <v>4.8</v>
      </c>
      <c r="I31" s="145"/>
      <c r="J31" s="1" t="s">
        <v>712</v>
      </c>
      <c r="K31" s="144">
        <v>1480</v>
      </c>
      <c r="L31" s="145">
        <v>8.5</v>
      </c>
      <c r="M31" s="145">
        <v>5.6</v>
      </c>
      <c r="N31" s="144">
        <v>2041</v>
      </c>
      <c r="O31" s="145">
        <v>12</v>
      </c>
      <c r="P31" s="145">
        <v>5.0999999999999996</v>
      </c>
      <c r="Q31" s="145"/>
      <c r="R31" s="1" t="s">
        <v>712</v>
      </c>
      <c r="S31" s="144">
        <v>1742</v>
      </c>
      <c r="T31" s="145">
        <v>10</v>
      </c>
      <c r="U31" s="144">
        <v>6</v>
      </c>
      <c r="V31" s="144">
        <v>2015</v>
      </c>
      <c r="W31" s="145">
        <v>10.9</v>
      </c>
      <c r="X31" s="145">
        <v>5.0999999999999996</v>
      </c>
    </row>
    <row r="32" spans="1:24">
      <c r="A32" s="1"/>
      <c r="B32" s="123"/>
      <c r="C32" s="123"/>
    </row>
    <row r="33" spans="1:24">
      <c r="A33" s="1"/>
      <c r="B33" s="39"/>
      <c r="C33" s="39"/>
    </row>
    <row r="34" spans="1:24" ht="15.75">
      <c r="A34" s="65" t="s">
        <v>713</v>
      </c>
      <c r="B34" s="65"/>
      <c r="C34" s="65"/>
      <c r="D34" s="65"/>
      <c r="E34" s="65"/>
      <c r="F34" s="65"/>
      <c r="G34" s="65"/>
      <c r="H34" s="65"/>
      <c r="I34" s="65"/>
      <c r="J34" s="65" t="s">
        <v>715</v>
      </c>
      <c r="K34" s="65"/>
      <c r="L34" s="65"/>
      <c r="M34" s="65"/>
      <c r="N34" s="65"/>
      <c r="O34" s="65"/>
      <c r="P34" s="65"/>
      <c r="Q34" s="65"/>
      <c r="R34" s="65" t="s">
        <v>716</v>
      </c>
      <c r="S34" s="65"/>
      <c r="T34" s="65"/>
      <c r="U34" s="65"/>
      <c r="V34" s="65"/>
      <c r="W34" s="65"/>
      <c r="X34" s="65"/>
    </row>
    <row r="35" spans="1:24" ht="15.75">
      <c r="A35" s="41" t="s">
        <v>219</v>
      </c>
      <c r="B35" s="65"/>
      <c r="C35" s="180" t="s">
        <v>220</v>
      </c>
      <c r="D35" s="180"/>
      <c r="E35" s="180"/>
      <c r="F35" s="180" t="s">
        <v>221</v>
      </c>
      <c r="G35" s="180"/>
      <c r="H35" s="180"/>
      <c r="I35" s="143"/>
      <c r="J35" s="143"/>
      <c r="K35" s="180" t="s">
        <v>220</v>
      </c>
      <c r="L35" s="180"/>
      <c r="M35" s="180"/>
      <c r="N35" s="180" t="s">
        <v>221</v>
      </c>
      <c r="O35" s="180"/>
      <c r="P35" s="180"/>
      <c r="Q35" s="143"/>
      <c r="R35" s="143"/>
      <c r="S35" s="180" t="s">
        <v>220</v>
      </c>
      <c r="T35" s="180"/>
      <c r="U35" s="180"/>
      <c r="V35" s="180" t="s">
        <v>221</v>
      </c>
      <c r="W35" s="180"/>
      <c r="X35" s="180"/>
    </row>
    <row r="36" spans="1:24" ht="15.75">
      <c r="A36" s="41" t="s">
        <v>204</v>
      </c>
      <c r="B36" s="65"/>
      <c r="C36" s="180" t="s">
        <v>220</v>
      </c>
      <c r="D36" s="180"/>
      <c r="E36" s="180"/>
      <c r="F36" s="180" t="s">
        <v>221</v>
      </c>
      <c r="G36" s="180"/>
      <c r="H36" s="180"/>
      <c r="I36" s="143"/>
      <c r="J36" s="143"/>
      <c r="K36" s="180" t="s">
        <v>220</v>
      </c>
      <c r="L36" s="180"/>
      <c r="M36" s="180"/>
      <c r="N36" s="180" t="s">
        <v>221</v>
      </c>
      <c r="O36" s="180"/>
      <c r="P36" s="180"/>
      <c r="Q36" s="143"/>
      <c r="R36" s="143"/>
      <c r="S36" s="180" t="s">
        <v>220</v>
      </c>
      <c r="T36" s="180"/>
      <c r="U36" s="180"/>
      <c r="V36" s="180" t="s">
        <v>221</v>
      </c>
      <c r="W36" s="180"/>
      <c r="X36" s="180"/>
    </row>
    <row r="37" spans="1:24" ht="15.75">
      <c r="A37" s="41"/>
      <c r="B37" s="1" t="s">
        <v>707</v>
      </c>
      <c r="C37" s="1" t="s">
        <v>704</v>
      </c>
      <c r="D37" s="1" t="s">
        <v>705</v>
      </c>
      <c r="E37" s="1" t="s">
        <v>706</v>
      </c>
      <c r="F37" s="1" t="s">
        <v>704</v>
      </c>
      <c r="G37" s="1" t="s">
        <v>705</v>
      </c>
      <c r="H37" s="1" t="s">
        <v>706</v>
      </c>
      <c r="J37" s="1" t="s">
        <v>707</v>
      </c>
      <c r="K37" s="1" t="s">
        <v>704</v>
      </c>
      <c r="L37" s="1" t="s">
        <v>705</v>
      </c>
      <c r="M37" s="1" t="s">
        <v>706</v>
      </c>
      <c r="N37" s="1" t="s">
        <v>704</v>
      </c>
      <c r="O37" s="1" t="s">
        <v>705</v>
      </c>
      <c r="P37" s="1" t="s">
        <v>706</v>
      </c>
      <c r="R37" t="s">
        <v>707</v>
      </c>
      <c r="S37" t="s">
        <v>704</v>
      </c>
      <c r="T37" t="s">
        <v>705</v>
      </c>
      <c r="U37" t="s">
        <v>706</v>
      </c>
      <c r="V37" t="s">
        <v>704</v>
      </c>
      <c r="W37" t="s">
        <v>705</v>
      </c>
      <c r="X37" t="s">
        <v>706</v>
      </c>
    </row>
    <row r="38" spans="1:24">
      <c r="A38" s="169" t="s">
        <v>570</v>
      </c>
      <c r="B38" s="1" t="s">
        <v>708</v>
      </c>
      <c r="C38" s="144">
        <v>33946</v>
      </c>
      <c r="D38" s="145" t="s">
        <v>714</v>
      </c>
      <c r="E38" s="145">
        <v>100</v>
      </c>
      <c r="F38" s="144">
        <v>32531</v>
      </c>
      <c r="G38" s="145" t="s">
        <v>714</v>
      </c>
      <c r="H38" s="145">
        <v>100</v>
      </c>
      <c r="I38" s="145"/>
      <c r="J38" s="1" t="s">
        <v>708</v>
      </c>
      <c r="K38" s="144">
        <v>32.579000000000001</v>
      </c>
      <c r="L38" s="145" t="s">
        <v>714</v>
      </c>
      <c r="M38" s="145">
        <v>100</v>
      </c>
      <c r="N38" s="144">
        <v>33547</v>
      </c>
      <c r="O38" s="145" t="s">
        <v>714</v>
      </c>
      <c r="P38" s="145">
        <v>100</v>
      </c>
      <c r="Q38" s="145"/>
      <c r="R38" s="1" t="s">
        <v>708</v>
      </c>
      <c r="S38" s="144">
        <v>33830</v>
      </c>
      <c r="T38" s="145" t="s">
        <v>714</v>
      </c>
      <c r="U38" s="145">
        <v>100</v>
      </c>
      <c r="V38" s="144">
        <v>36425</v>
      </c>
      <c r="W38" s="145" t="s">
        <v>714</v>
      </c>
      <c r="X38" s="145">
        <v>100</v>
      </c>
    </row>
    <row r="39" spans="1:24">
      <c r="A39" s="169"/>
      <c r="B39" s="1" t="s">
        <v>709</v>
      </c>
      <c r="C39" s="144">
        <v>20000</v>
      </c>
      <c r="D39" s="145">
        <v>58.9</v>
      </c>
      <c r="E39" s="145">
        <v>58.9</v>
      </c>
      <c r="F39" s="144">
        <v>20000</v>
      </c>
      <c r="G39" s="145">
        <v>61.5</v>
      </c>
      <c r="H39" s="145">
        <v>61.5</v>
      </c>
      <c r="I39" s="145"/>
      <c r="J39" s="1" t="s">
        <v>709</v>
      </c>
      <c r="K39" s="144">
        <v>20000</v>
      </c>
      <c r="L39" s="145">
        <v>61.4</v>
      </c>
      <c r="M39" s="145">
        <v>61.4</v>
      </c>
      <c r="N39" s="144">
        <v>20000</v>
      </c>
      <c r="O39" s="145">
        <v>59.6</v>
      </c>
      <c r="P39" s="145">
        <v>59.6</v>
      </c>
      <c r="Q39" s="145"/>
      <c r="R39" s="1" t="s">
        <v>709</v>
      </c>
      <c r="S39" s="144">
        <v>20000</v>
      </c>
      <c r="T39" s="145">
        <v>59.1</v>
      </c>
      <c r="U39" s="145">
        <v>59.1</v>
      </c>
      <c r="V39" s="144">
        <v>20000</v>
      </c>
      <c r="W39" s="145">
        <v>54.9</v>
      </c>
      <c r="X39" s="145">
        <v>54.9</v>
      </c>
    </row>
    <row r="40" spans="1:24">
      <c r="A40" s="169"/>
      <c r="B40" s="1" t="s">
        <v>710</v>
      </c>
      <c r="C40" s="144">
        <v>19660</v>
      </c>
      <c r="D40" s="145">
        <v>98.3</v>
      </c>
      <c r="E40" s="145">
        <v>57.9</v>
      </c>
      <c r="F40" s="144">
        <v>17650</v>
      </c>
      <c r="G40" s="145">
        <v>88.2</v>
      </c>
      <c r="H40" s="145">
        <v>54.3</v>
      </c>
      <c r="I40" s="145"/>
      <c r="J40" s="1" t="s">
        <v>710</v>
      </c>
      <c r="K40" s="144">
        <v>19527</v>
      </c>
      <c r="L40" s="145">
        <v>97.6</v>
      </c>
      <c r="M40" s="145">
        <v>59.9</v>
      </c>
      <c r="N40" s="144">
        <v>17278</v>
      </c>
      <c r="O40" s="145">
        <v>86.4</v>
      </c>
      <c r="P40" s="145">
        <v>51.5</v>
      </c>
      <c r="Q40" s="145"/>
      <c r="R40" s="1" t="s">
        <v>710</v>
      </c>
      <c r="S40" s="144">
        <v>19540</v>
      </c>
      <c r="T40" s="144">
        <v>97.7</v>
      </c>
      <c r="U40" s="145">
        <v>57.8</v>
      </c>
      <c r="V40" s="144">
        <v>17496</v>
      </c>
      <c r="W40" s="145">
        <v>87.5</v>
      </c>
      <c r="X40" s="145">
        <v>48</v>
      </c>
    </row>
    <row r="41" spans="1:24">
      <c r="A41" s="169"/>
      <c r="B41" s="1" t="s">
        <v>712</v>
      </c>
      <c r="C41" s="144">
        <v>2517</v>
      </c>
      <c r="D41" s="145">
        <v>12.8</v>
      </c>
      <c r="E41" s="145">
        <v>7.4</v>
      </c>
      <c r="F41" s="144">
        <v>1391</v>
      </c>
      <c r="G41" s="145">
        <v>7.9</v>
      </c>
      <c r="H41" s="145">
        <v>4.3</v>
      </c>
      <c r="I41" s="145"/>
      <c r="J41" s="1" t="s">
        <v>712</v>
      </c>
      <c r="K41" s="144">
        <v>2430</v>
      </c>
      <c r="L41" s="145">
        <v>12.4</v>
      </c>
      <c r="M41" s="145">
        <v>7.5</v>
      </c>
      <c r="N41" s="144">
        <v>6854</v>
      </c>
      <c r="O41" s="145">
        <v>39.700000000000003</v>
      </c>
      <c r="P41" s="145">
        <v>20.399999999999999</v>
      </c>
      <c r="Q41" s="145"/>
      <c r="R41" s="1" t="s">
        <v>712</v>
      </c>
      <c r="S41" s="144">
        <v>2269</v>
      </c>
      <c r="T41" s="145">
        <v>11.6</v>
      </c>
      <c r="U41" s="144">
        <v>6.7</v>
      </c>
      <c r="V41" s="144">
        <v>1417</v>
      </c>
      <c r="W41" s="145">
        <v>8.1</v>
      </c>
      <c r="X41" s="145">
        <v>3.9</v>
      </c>
    </row>
    <row r="42" spans="1:24">
      <c r="A42" s="1"/>
      <c r="B42" s="39"/>
      <c r="C42" s="39"/>
    </row>
    <row r="43" spans="1:24">
      <c r="A43" s="1"/>
    </row>
    <row r="44" spans="1:24" ht="15.75">
      <c r="A44" s="65" t="s">
        <v>713</v>
      </c>
      <c r="B44" s="65"/>
      <c r="C44" s="65"/>
      <c r="D44" s="65"/>
      <c r="E44" s="65"/>
      <c r="F44" s="65"/>
      <c r="G44" s="65"/>
      <c r="H44" s="65"/>
      <c r="I44" s="65"/>
      <c r="J44" s="65" t="s">
        <v>715</v>
      </c>
      <c r="K44" s="65"/>
      <c r="L44" s="65"/>
      <c r="M44" s="65"/>
      <c r="N44" s="65"/>
      <c r="O44" s="65"/>
      <c r="P44" s="65"/>
      <c r="Q44" s="65"/>
      <c r="R44" s="65" t="s">
        <v>716</v>
      </c>
      <c r="S44" s="65"/>
      <c r="T44" s="65"/>
      <c r="U44" s="65"/>
      <c r="V44" s="65"/>
      <c r="W44" s="65"/>
      <c r="X44" s="65"/>
    </row>
    <row r="45" spans="1:24" ht="15.75">
      <c r="A45" s="41" t="s">
        <v>219</v>
      </c>
      <c r="B45" s="65"/>
      <c r="C45" s="180" t="s">
        <v>220</v>
      </c>
      <c r="D45" s="180"/>
      <c r="E45" s="180"/>
      <c r="F45" s="180" t="s">
        <v>221</v>
      </c>
      <c r="G45" s="180"/>
      <c r="H45" s="180"/>
      <c r="I45" s="143"/>
      <c r="J45" s="143"/>
      <c r="K45" s="180" t="s">
        <v>220</v>
      </c>
      <c r="L45" s="180"/>
      <c r="M45" s="180"/>
      <c r="N45" s="180" t="s">
        <v>221</v>
      </c>
      <c r="O45" s="180"/>
      <c r="P45" s="180"/>
      <c r="Q45" s="143"/>
      <c r="R45" s="143"/>
      <c r="S45" s="180" t="s">
        <v>220</v>
      </c>
      <c r="T45" s="180"/>
      <c r="U45" s="180"/>
      <c r="V45" s="180" t="s">
        <v>221</v>
      </c>
      <c r="W45" s="180"/>
      <c r="X45" s="180"/>
    </row>
    <row r="46" spans="1:24" ht="15.75">
      <c r="A46" s="41" t="s">
        <v>204</v>
      </c>
      <c r="B46" s="65"/>
      <c r="C46" s="180" t="s">
        <v>220</v>
      </c>
      <c r="D46" s="180"/>
      <c r="E46" s="180"/>
      <c r="F46" s="180" t="s">
        <v>221</v>
      </c>
      <c r="G46" s="180"/>
      <c r="H46" s="180"/>
      <c r="I46" s="143"/>
      <c r="J46" s="143"/>
      <c r="K46" s="180" t="s">
        <v>220</v>
      </c>
      <c r="L46" s="180"/>
      <c r="M46" s="180"/>
      <c r="N46" s="180" t="s">
        <v>221</v>
      </c>
      <c r="O46" s="180"/>
      <c r="P46" s="180"/>
      <c r="Q46" s="143"/>
      <c r="R46" s="143"/>
      <c r="S46" s="180" t="s">
        <v>220</v>
      </c>
      <c r="T46" s="180"/>
      <c r="U46" s="180"/>
      <c r="V46" s="180" t="s">
        <v>221</v>
      </c>
      <c r="W46" s="180"/>
      <c r="X46" s="180"/>
    </row>
    <row r="47" spans="1:24" ht="15.75">
      <c r="A47" s="41"/>
      <c r="B47" s="1" t="s">
        <v>707</v>
      </c>
      <c r="C47" s="1" t="s">
        <v>704</v>
      </c>
      <c r="D47" s="1" t="s">
        <v>705</v>
      </c>
      <c r="E47" s="1" t="s">
        <v>706</v>
      </c>
      <c r="F47" s="1" t="s">
        <v>704</v>
      </c>
      <c r="G47" s="1" t="s">
        <v>705</v>
      </c>
      <c r="H47" s="1" t="s">
        <v>706</v>
      </c>
      <c r="J47" s="1" t="s">
        <v>707</v>
      </c>
      <c r="K47" s="1" t="s">
        <v>704</v>
      </c>
      <c r="L47" s="1" t="s">
        <v>705</v>
      </c>
      <c r="M47" s="1" t="s">
        <v>706</v>
      </c>
      <c r="N47" s="1" t="s">
        <v>704</v>
      </c>
      <c r="O47" s="1" t="s">
        <v>705</v>
      </c>
      <c r="P47" s="1" t="s">
        <v>706</v>
      </c>
      <c r="R47" t="s">
        <v>707</v>
      </c>
      <c r="S47" t="s">
        <v>704</v>
      </c>
      <c r="T47" t="s">
        <v>705</v>
      </c>
      <c r="U47" t="s">
        <v>706</v>
      </c>
      <c r="V47" t="s">
        <v>704</v>
      </c>
      <c r="W47" t="s">
        <v>705</v>
      </c>
      <c r="X47" t="s">
        <v>706</v>
      </c>
    </row>
    <row r="48" spans="1:24">
      <c r="A48" s="169" t="s">
        <v>571</v>
      </c>
      <c r="B48" s="1" t="s">
        <v>708</v>
      </c>
      <c r="C48" s="144">
        <v>22772</v>
      </c>
      <c r="D48" s="145" t="s">
        <v>714</v>
      </c>
      <c r="E48" s="145">
        <v>100</v>
      </c>
      <c r="F48" s="144">
        <v>22327</v>
      </c>
      <c r="G48" s="145" t="s">
        <v>714</v>
      </c>
      <c r="H48" s="145">
        <v>100</v>
      </c>
      <c r="I48" s="145"/>
      <c r="J48" s="1" t="s">
        <v>708</v>
      </c>
      <c r="K48" s="144">
        <v>22716</v>
      </c>
      <c r="L48" s="145" t="s">
        <v>714</v>
      </c>
      <c r="M48" s="145">
        <v>100</v>
      </c>
      <c r="N48" s="144">
        <v>22739</v>
      </c>
      <c r="O48" s="145" t="s">
        <v>714</v>
      </c>
      <c r="P48" s="145">
        <v>100</v>
      </c>
      <c r="Q48" s="145"/>
      <c r="R48" s="1" t="s">
        <v>708</v>
      </c>
      <c r="S48" s="144">
        <v>22534</v>
      </c>
      <c r="T48" s="145" t="s">
        <v>714</v>
      </c>
      <c r="U48" s="145">
        <v>100</v>
      </c>
      <c r="V48" s="144">
        <v>22892</v>
      </c>
      <c r="W48" s="145" t="s">
        <v>714</v>
      </c>
      <c r="X48" s="145">
        <v>100</v>
      </c>
    </row>
    <row r="49" spans="1:24">
      <c r="A49" s="169"/>
      <c r="B49" s="1" t="s">
        <v>709</v>
      </c>
      <c r="C49" s="144">
        <v>20000</v>
      </c>
      <c r="D49" s="145">
        <v>87.8</v>
      </c>
      <c r="E49" s="145">
        <v>87.8</v>
      </c>
      <c r="F49" s="144">
        <v>20000</v>
      </c>
      <c r="G49" s="145">
        <v>89.6</v>
      </c>
      <c r="H49" s="145">
        <v>89.6</v>
      </c>
      <c r="I49" s="145"/>
      <c r="J49" s="1" t="s">
        <v>709</v>
      </c>
      <c r="K49" s="144">
        <v>20000</v>
      </c>
      <c r="L49" s="145">
        <v>88</v>
      </c>
      <c r="M49" s="145">
        <v>88</v>
      </c>
      <c r="N49" s="144">
        <v>20000</v>
      </c>
      <c r="O49" s="145">
        <v>88</v>
      </c>
      <c r="P49" s="145">
        <v>88</v>
      </c>
      <c r="Q49" s="145"/>
      <c r="R49" s="1" t="s">
        <v>709</v>
      </c>
      <c r="S49" s="144">
        <v>20000</v>
      </c>
      <c r="T49" s="145">
        <v>88.8</v>
      </c>
      <c r="U49" s="145">
        <v>88.8</v>
      </c>
      <c r="V49" s="144">
        <v>20000</v>
      </c>
      <c r="W49" s="145">
        <v>87.4</v>
      </c>
      <c r="X49" s="145">
        <v>87.4</v>
      </c>
    </row>
    <row r="50" spans="1:24">
      <c r="A50" s="169"/>
      <c r="B50" s="1" t="s">
        <v>710</v>
      </c>
      <c r="C50" s="144">
        <v>19296</v>
      </c>
      <c r="D50" s="145">
        <v>96.5</v>
      </c>
      <c r="E50" s="145">
        <v>84.7</v>
      </c>
      <c r="F50" s="144">
        <v>16521</v>
      </c>
      <c r="G50" s="145">
        <v>82.6</v>
      </c>
      <c r="H50" s="145">
        <v>74</v>
      </c>
      <c r="I50" s="145"/>
      <c r="J50" s="1" t="s">
        <v>710</v>
      </c>
      <c r="K50" s="144">
        <v>19273</v>
      </c>
      <c r="L50" s="145">
        <v>96.4</v>
      </c>
      <c r="M50" s="145">
        <v>84.8</v>
      </c>
      <c r="N50" s="144">
        <v>16162</v>
      </c>
      <c r="O50" s="145">
        <v>80.8</v>
      </c>
      <c r="P50" s="145">
        <v>71.099999999999994</v>
      </c>
      <c r="Q50" s="145"/>
      <c r="R50" s="1" t="s">
        <v>710</v>
      </c>
      <c r="S50" s="144">
        <v>19425</v>
      </c>
      <c r="T50" s="144">
        <v>97.1</v>
      </c>
      <c r="U50" s="145">
        <v>86.2</v>
      </c>
      <c r="V50" s="144">
        <v>16006</v>
      </c>
      <c r="W50" s="145">
        <v>80</v>
      </c>
      <c r="X50" s="145">
        <v>69.900000000000006</v>
      </c>
    </row>
    <row r="51" spans="1:24">
      <c r="A51" s="169"/>
      <c r="B51" s="1" t="s">
        <v>712</v>
      </c>
      <c r="C51" s="144">
        <v>289</v>
      </c>
      <c r="D51" s="145">
        <v>1.5</v>
      </c>
      <c r="E51" s="145">
        <v>1.3</v>
      </c>
      <c r="F51" s="144">
        <v>279</v>
      </c>
      <c r="G51" s="145">
        <v>1.7</v>
      </c>
      <c r="H51" s="145">
        <v>1.2</v>
      </c>
      <c r="I51" s="145"/>
      <c r="J51" s="1" t="s">
        <v>712</v>
      </c>
      <c r="K51" s="144">
        <v>269</v>
      </c>
      <c r="L51" s="145">
        <v>1.4</v>
      </c>
      <c r="M51" s="145">
        <v>1.2</v>
      </c>
      <c r="N51" s="144">
        <v>227</v>
      </c>
      <c r="O51" s="145">
        <v>1.4</v>
      </c>
      <c r="P51" s="145">
        <v>1</v>
      </c>
      <c r="Q51" s="145"/>
      <c r="R51" s="1" t="s">
        <v>712</v>
      </c>
      <c r="S51" s="144">
        <v>395</v>
      </c>
      <c r="T51" s="145">
        <v>2</v>
      </c>
      <c r="U51" s="144">
        <v>1.8</v>
      </c>
      <c r="V51" s="144">
        <v>242</v>
      </c>
      <c r="W51" s="145">
        <v>1.5</v>
      </c>
      <c r="X51" s="145">
        <v>1.1000000000000001</v>
      </c>
    </row>
    <row r="52" spans="1:24">
      <c r="A52" s="139"/>
      <c r="B52" s="1"/>
      <c r="C52" s="144"/>
      <c r="D52" s="145"/>
      <c r="E52" s="145"/>
      <c r="F52" s="144"/>
      <c r="G52" s="145"/>
      <c r="H52" s="145"/>
      <c r="I52" s="145"/>
      <c r="J52" s="1"/>
      <c r="K52" s="144"/>
      <c r="L52" s="145"/>
      <c r="M52" s="145"/>
      <c r="N52" s="144"/>
      <c r="O52" s="145"/>
      <c r="P52" s="145"/>
      <c r="Q52" s="145"/>
      <c r="R52" s="1"/>
      <c r="S52" s="144"/>
      <c r="T52" s="145"/>
      <c r="U52" s="144"/>
      <c r="V52" s="144"/>
      <c r="W52" s="145"/>
      <c r="X52" s="145"/>
    </row>
    <row r="53" spans="1:24">
      <c r="A53" s="139"/>
      <c r="B53" s="1"/>
      <c r="C53" s="144"/>
      <c r="D53" s="145"/>
      <c r="E53" s="145"/>
      <c r="F53" s="144"/>
      <c r="G53" s="145"/>
      <c r="H53" s="145"/>
      <c r="I53" s="145"/>
      <c r="J53" s="1"/>
      <c r="K53" s="144"/>
      <c r="L53" s="145"/>
      <c r="M53" s="145"/>
      <c r="N53" s="144"/>
      <c r="O53" s="145"/>
      <c r="P53" s="145"/>
      <c r="Q53" s="145"/>
      <c r="R53" s="1"/>
      <c r="S53" s="144"/>
      <c r="T53" s="145"/>
      <c r="U53" s="144"/>
      <c r="V53" s="144"/>
      <c r="W53" s="145"/>
      <c r="X53" s="145"/>
    </row>
    <row r="54" spans="1:24" ht="15.75">
      <c r="A54" s="65" t="s">
        <v>713</v>
      </c>
      <c r="B54" s="65"/>
      <c r="C54" s="65"/>
      <c r="D54" s="65"/>
      <c r="E54" s="65"/>
      <c r="F54" s="65"/>
      <c r="G54" s="65"/>
      <c r="H54" s="65"/>
      <c r="I54" s="65"/>
      <c r="J54" s="65" t="s">
        <v>715</v>
      </c>
      <c r="K54" s="65"/>
      <c r="L54" s="65"/>
      <c r="M54" s="65"/>
      <c r="N54" s="65"/>
      <c r="O54" s="65"/>
      <c r="P54" s="65"/>
      <c r="Q54" s="65"/>
      <c r="R54" s="65" t="s">
        <v>716</v>
      </c>
      <c r="S54" s="65"/>
      <c r="T54" s="65"/>
      <c r="U54" s="65"/>
      <c r="V54" s="65"/>
      <c r="W54" s="65"/>
      <c r="X54" s="65"/>
    </row>
    <row r="55" spans="1:24" ht="15.75">
      <c r="A55" s="41" t="s">
        <v>219</v>
      </c>
      <c r="B55" s="65"/>
      <c r="C55" s="180" t="s">
        <v>220</v>
      </c>
      <c r="D55" s="180"/>
      <c r="E55" s="180"/>
      <c r="F55" s="180" t="s">
        <v>221</v>
      </c>
      <c r="G55" s="180"/>
      <c r="H55" s="180"/>
      <c r="I55" s="143"/>
      <c r="J55" s="143"/>
      <c r="K55" s="180" t="s">
        <v>220</v>
      </c>
      <c r="L55" s="180"/>
      <c r="M55" s="180"/>
      <c r="N55" s="180" t="s">
        <v>221</v>
      </c>
      <c r="O55" s="180"/>
      <c r="P55" s="180"/>
      <c r="Q55" s="143"/>
      <c r="R55" s="143"/>
      <c r="S55" s="180" t="s">
        <v>220</v>
      </c>
      <c r="T55" s="180"/>
      <c r="U55" s="180"/>
      <c r="V55" s="180" t="s">
        <v>221</v>
      </c>
      <c r="W55" s="180"/>
      <c r="X55" s="180"/>
    </row>
    <row r="56" spans="1:24" ht="15.75">
      <c r="A56" s="41" t="s">
        <v>204</v>
      </c>
      <c r="B56" s="65"/>
      <c r="C56" s="180" t="s">
        <v>220</v>
      </c>
      <c r="D56" s="180"/>
      <c r="E56" s="180"/>
      <c r="F56" s="180" t="s">
        <v>221</v>
      </c>
      <c r="G56" s="180"/>
      <c r="H56" s="180"/>
      <c r="I56" s="143"/>
      <c r="J56" s="143"/>
      <c r="K56" s="180" t="s">
        <v>220</v>
      </c>
      <c r="L56" s="180"/>
      <c r="M56" s="180"/>
      <c r="N56" s="180" t="s">
        <v>221</v>
      </c>
      <c r="O56" s="180"/>
      <c r="P56" s="180"/>
      <c r="Q56" s="143"/>
      <c r="R56" s="143"/>
      <c r="S56" s="180" t="s">
        <v>220</v>
      </c>
      <c r="T56" s="180"/>
      <c r="U56" s="180"/>
      <c r="V56" s="180" t="s">
        <v>221</v>
      </c>
      <c r="W56" s="180"/>
      <c r="X56" s="180"/>
    </row>
    <row r="57" spans="1:24" ht="15.75">
      <c r="A57" s="41"/>
      <c r="B57" s="1" t="s">
        <v>707</v>
      </c>
      <c r="C57" s="1" t="s">
        <v>704</v>
      </c>
      <c r="D57" s="1" t="s">
        <v>705</v>
      </c>
      <c r="E57" s="1" t="s">
        <v>706</v>
      </c>
      <c r="F57" s="1" t="s">
        <v>704</v>
      </c>
      <c r="G57" s="1" t="s">
        <v>705</v>
      </c>
      <c r="H57" s="1" t="s">
        <v>706</v>
      </c>
      <c r="J57" s="1" t="s">
        <v>707</v>
      </c>
      <c r="K57" s="1" t="s">
        <v>704</v>
      </c>
      <c r="L57" s="1" t="s">
        <v>705</v>
      </c>
      <c r="M57" s="1" t="s">
        <v>706</v>
      </c>
      <c r="N57" s="1" t="s">
        <v>704</v>
      </c>
      <c r="O57" s="1" t="s">
        <v>705</v>
      </c>
      <c r="P57" s="1" t="s">
        <v>706</v>
      </c>
      <c r="R57" t="s">
        <v>707</v>
      </c>
      <c r="S57" t="s">
        <v>704</v>
      </c>
      <c r="T57" t="s">
        <v>705</v>
      </c>
      <c r="U57" t="s">
        <v>706</v>
      </c>
      <c r="V57" t="s">
        <v>704</v>
      </c>
      <c r="W57" t="s">
        <v>705</v>
      </c>
      <c r="X57" t="s">
        <v>706</v>
      </c>
    </row>
    <row r="58" spans="1:24">
      <c r="A58" s="169" t="s">
        <v>574</v>
      </c>
      <c r="B58" s="1" t="s">
        <v>708</v>
      </c>
      <c r="C58" s="144">
        <v>22577</v>
      </c>
      <c r="D58" s="145" t="s">
        <v>714</v>
      </c>
      <c r="E58" s="145">
        <v>100</v>
      </c>
      <c r="F58" s="144">
        <v>39282</v>
      </c>
      <c r="G58" s="145" t="s">
        <v>714</v>
      </c>
      <c r="H58" s="145">
        <v>100</v>
      </c>
      <c r="I58" s="145"/>
      <c r="J58" s="1" t="s">
        <v>708</v>
      </c>
      <c r="K58" s="144">
        <v>22424</v>
      </c>
      <c r="L58" s="145" t="s">
        <v>714</v>
      </c>
      <c r="M58" s="145">
        <v>100</v>
      </c>
      <c r="N58" s="144">
        <v>40810</v>
      </c>
      <c r="O58" s="145" t="s">
        <v>714</v>
      </c>
      <c r="P58" s="145">
        <v>100</v>
      </c>
      <c r="Q58" s="145"/>
      <c r="R58" s="1" t="s">
        <v>708</v>
      </c>
      <c r="S58" s="144">
        <v>22611</v>
      </c>
      <c r="T58" s="145" t="s">
        <v>714</v>
      </c>
      <c r="U58" s="145">
        <v>100</v>
      </c>
      <c r="V58" s="144">
        <v>40.673999999999999</v>
      </c>
      <c r="W58" s="145" t="s">
        <v>714</v>
      </c>
      <c r="X58" s="145">
        <v>100</v>
      </c>
    </row>
    <row r="59" spans="1:24">
      <c r="A59" s="169"/>
      <c r="B59" s="1" t="s">
        <v>709</v>
      </c>
      <c r="C59" s="144">
        <v>20000</v>
      </c>
      <c r="D59" s="145">
        <v>88.6</v>
      </c>
      <c r="E59" s="145">
        <v>88.6</v>
      </c>
      <c r="F59" s="144">
        <v>23910</v>
      </c>
      <c r="G59" s="145">
        <v>60.9</v>
      </c>
      <c r="H59" s="145">
        <v>60.9</v>
      </c>
      <c r="I59" s="145"/>
      <c r="J59" s="1" t="s">
        <v>709</v>
      </c>
      <c r="K59" s="144">
        <v>20000</v>
      </c>
      <c r="L59" s="145">
        <v>89.2</v>
      </c>
      <c r="M59" s="145">
        <v>89.2</v>
      </c>
      <c r="N59" s="144">
        <v>23705</v>
      </c>
      <c r="O59" s="145">
        <v>58.1</v>
      </c>
      <c r="P59" s="145">
        <v>58.1</v>
      </c>
      <c r="Q59" s="145"/>
      <c r="R59" s="1" t="s">
        <v>709</v>
      </c>
      <c r="S59" s="144">
        <v>20000</v>
      </c>
      <c r="T59" s="145">
        <v>88.5</v>
      </c>
      <c r="U59" s="145">
        <v>88.5</v>
      </c>
      <c r="V59" s="144">
        <v>23720</v>
      </c>
      <c r="W59" s="145">
        <v>58.3</v>
      </c>
      <c r="X59" s="145">
        <v>58.3</v>
      </c>
    </row>
    <row r="60" spans="1:24">
      <c r="A60" s="169"/>
      <c r="B60" s="1" t="s">
        <v>710</v>
      </c>
      <c r="C60" s="144">
        <v>19302</v>
      </c>
      <c r="D60" s="145">
        <v>96.5</v>
      </c>
      <c r="E60" s="145">
        <v>85.5</v>
      </c>
      <c r="F60" s="144">
        <v>20000</v>
      </c>
      <c r="G60" s="145">
        <v>97</v>
      </c>
      <c r="H60" s="145">
        <v>50.9</v>
      </c>
      <c r="I60" s="145"/>
      <c r="J60" s="1" t="s">
        <v>710</v>
      </c>
      <c r="K60" s="144">
        <v>19349</v>
      </c>
      <c r="L60" s="145">
        <v>96.7</v>
      </c>
      <c r="M60" s="145">
        <v>86.3</v>
      </c>
      <c r="N60" s="144">
        <v>20000</v>
      </c>
      <c r="O60" s="145">
        <v>97.9</v>
      </c>
      <c r="P60" s="145">
        <v>49</v>
      </c>
      <c r="Q60" s="145"/>
      <c r="R60" s="1" t="s">
        <v>710</v>
      </c>
      <c r="S60" s="144">
        <v>19373</v>
      </c>
      <c r="T60" s="144">
        <v>96.9</v>
      </c>
      <c r="U60" s="145">
        <v>85.7</v>
      </c>
      <c r="V60" s="144">
        <v>20000</v>
      </c>
      <c r="W60" s="145">
        <v>97.1</v>
      </c>
      <c r="X60" s="145">
        <v>49.2</v>
      </c>
    </row>
    <row r="61" spans="1:24">
      <c r="A61" s="169"/>
      <c r="B61" s="1" t="s">
        <v>712</v>
      </c>
      <c r="C61" s="144">
        <v>5463</v>
      </c>
      <c r="D61" s="145">
        <v>28.3</v>
      </c>
      <c r="E61" s="145">
        <v>24.2</v>
      </c>
      <c r="F61" s="144">
        <v>462</v>
      </c>
      <c r="G61" s="145">
        <v>2.2999999999999998</v>
      </c>
      <c r="H61" s="145">
        <v>1.2</v>
      </c>
      <c r="I61" s="145"/>
      <c r="J61" s="1" t="s">
        <v>712</v>
      </c>
      <c r="K61" s="144">
        <v>5513</v>
      </c>
      <c r="L61" s="145">
        <v>28.5</v>
      </c>
      <c r="M61" s="145">
        <v>24.6</v>
      </c>
      <c r="N61" s="144">
        <v>484</v>
      </c>
      <c r="O61" s="145">
        <v>2.4</v>
      </c>
      <c r="P61" s="145">
        <v>12</v>
      </c>
      <c r="Q61" s="145"/>
      <c r="R61" s="1" t="s">
        <v>712</v>
      </c>
      <c r="S61" s="144">
        <v>5488</v>
      </c>
      <c r="T61" s="145">
        <v>28.3</v>
      </c>
      <c r="U61" s="144">
        <v>24.3</v>
      </c>
      <c r="V61" s="144">
        <v>462</v>
      </c>
      <c r="W61" s="145">
        <v>2.2999999999999998</v>
      </c>
      <c r="X61" s="145">
        <v>1.1000000000000001</v>
      </c>
    </row>
    <row r="62" spans="1:24">
      <c r="A62" s="1"/>
    </row>
    <row r="63" spans="1:24">
      <c r="A63" s="1"/>
    </row>
    <row r="64" spans="1:24">
      <c r="A64" s="1"/>
      <c r="B64" s="169"/>
      <c r="C64" s="169"/>
    </row>
    <row r="65" spans="2:3">
      <c r="B65" s="123"/>
      <c r="C65" s="123"/>
    </row>
    <row r="66" spans="2:3">
      <c r="B66" s="39"/>
      <c r="C66" s="38"/>
    </row>
    <row r="67" spans="2:3">
      <c r="B67" s="39"/>
      <c r="C67" s="38"/>
    </row>
    <row r="68" spans="2:3">
      <c r="B68" s="39"/>
      <c r="C68" s="38"/>
    </row>
  </sheetData>
  <mergeCells count="97">
    <mergeCell ref="B64:C64"/>
    <mergeCell ref="AB5:AD5"/>
    <mergeCell ref="C6:E6"/>
    <mergeCell ref="F6:H6"/>
    <mergeCell ref="K6:M6"/>
    <mergeCell ref="S6:U6"/>
    <mergeCell ref="V6:X6"/>
    <mergeCell ref="Y6:AA6"/>
    <mergeCell ref="AB6:AD6"/>
    <mergeCell ref="C5:E5"/>
    <mergeCell ref="F5:H5"/>
    <mergeCell ref="K5:M5"/>
    <mergeCell ref="S5:U5"/>
    <mergeCell ref="V5:X5"/>
    <mergeCell ref="N15:P15"/>
    <mergeCell ref="S15:U15"/>
    <mergeCell ref="BM4:BR4"/>
    <mergeCell ref="BU4:BZ4"/>
    <mergeCell ref="CA4:CF4"/>
    <mergeCell ref="CG4:CL4"/>
    <mergeCell ref="CM4:CR4"/>
    <mergeCell ref="A8:A11"/>
    <mergeCell ref="C15:E15"/>
    <mergeCell ref="F15:H15"/>
    <mergeCell ref="K15:M15"/>
    <mergeCell ref="BE4:BJ4"/>
    <mergeCell ref="N5:P5"/>
    <mergeCell ref="N6:P6"/>
    <mergeCell ref="AK5:AM5"/>
    <mergeCell ref="AN5:AP5"/>
    <mergeCell ref="AK6:AM6"/>
    <mergeCell ref="AN6:AP6"/>
    <mergeCell ref="AH5:AJ5"/>
    <mergeCell ref="AE6:AG6"/>
    <mergeCell ref="AH6:AJ6"/>
    <mergeCell ref="AE5:AG5"/>
    <mergeCell ref="Y5:AA5"/>
    <mergeCell ref="V15:X15"/>
    <mergeCell ref="C16:E16"/>
    <mergeCell ref="F16:H16"/>
    <mergeCell ref="K16:M16"/>
    <mergeCell ref="N16:P16"/>
    <mergeCell ref="S16:U16"/>
    <mergeCell ref="V16:X16"/>
    <mergeCell ref="A18:A21"/>
    <mergeCell ref="C25:E25"/>
    <mergeCell ref="F25:H25"/>
    <mergeCell ref="K25:M25"/>
    <mergeCell ref="N25:P25"/>
    <mergeCell ref="S25:U25"/>
    <mergeCell ref="V25:X25"/>
    <mergeCell ref="C26:E26"/>
    <mergeCell ref="F26:H26"/>
    <mergeCell ref="K26:M26"/>
    <mergeCell ref="N26:P26"/>
    <mergeCell ref="S26:U26"/>
    <mergeCell ref="V26:X26"/>
    <mergeCell ref="A28:A31"/>
    <mergeCell ref="C35:E35"/>
    <mergeCell ref="F35:H35"/>
    <mergeCell ref="K35:M35"/>
    <mergeCell ref="N35:P35"/>
    <mergeCell ref="S35:U35"/>
    <mergeCell ref="V35:X35"/>
    <mergeCell ref="C36:E36"/>
    <mergeCell ref="F36:H36"/>
    <mergeCell ref="K36:M36"/>
    <mergeCell ref="N36:P36"/>
    <mergeCell ref="S36:U36"/>
    <mergeCell ref="V36:X36"/>
    <mergeCell ref="A38:A41"/>
    <mergeCell ref="C45:E45"/>
    <mergeCell ref="F45:H45"/>
    <mergeCell ref="K45:M45"/>
    <mergeCell ref="N45:P45"/>
    <mergeCell ref="S45:U45"/>
    <mergeCell ref="V45:X45"/>
    <mergeCell ref="C46:E46"/>
    <mergeCell ref="F46:H46"/>
    <mergeCell ref="K46:M46"/>
    <mergeCell ref="N46:P46"/>
    <mergeCell ref="S46:U46"/>
    <mergeCell ref="V46:X46"/>
    <mergeCell ref="A48:A51"/>
    <mergeCell ref="C55:E55"/>
    <mergeCell ref="F55:H55"/>
    <mergeCell ref="K55:M55"/>
    <mergeCell ref="N55:P55"/>
    <mergeCell ref="A58:A61"/>
    <mergeCell ref="S55:U55"/>
    <mergeCell ref="V55:X55"/>
    <mergeCell ref="C56:E56"/>
    <mergeCell ref="F56:H56"/>
    <mergeCell ref="K56:M56"/>
    <mergeCell ref="N56:P56"/>
    <mergeCell ref="S56:U56"/>
    <mergeCell ref="V56:X56"/>
  </mergeCells>
  <pageMargins left="0.7" right="0.7" top="0.75" bottom="0.75" header="0.3" footer="0.3"/>
  <pageSetup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9"/>
  <sheetViews>
    <sheetView topLeftCell="K27" workbookViewId="0">
      <selection activeCell="M42" sqref="A1:O42"/>
    </sheetView>
  </sheetViews>
  <sheetFormatPr defaultRowHeight="15"/>
  <sheetData>
    <row r="1" spans="1:6">
      <c r="A1" s="1" t="s">
        <v>584</v>
      </c>
    </row>
    <row r="6" spans="1:6">
      <c r="C6" s="1" t="s">
        <v>577</v>
      </c>
      <c r="F6" s="1" t="s">
        <v>576</v>
      </c>
    </row>
    <row r="7" spans="1:6">
      <c r="C7">
        <v>0</v>
      </c>
      <c r="D7">
        <v>3.1E-2</v>
      </c>
      <c r="E7">
        <v>3.4000000000000002E-2</v>
      </c>
      <c r="F7">
        <f>AVERAGE(D7:E7)</f>
        <v>3.2500000000000001E-2</v>
      </c>
    </row>
    <row r="8" spans="1:6">
      <c r="C8">
        <v>5</v>
      </c>
      <c r="D8">
        <v>0.19</v>
      </c>
      <c r="E8">
        <v>0.188</v>
      </c>
      <c r="F8">
        <f t="shared" ref="F8:F14" si="0">AVERAGE(D8:E8)</f>
        <v>0.189</v>
      </c>
    </row>
    <row r="9" spans="1:6">
      <c r="C9">
        <v>10</v>
      </c>
      <c r="D9">
        <v>0.32400000000000001</v>
      </c>
      <c r="E9">
        <v>0.33</v>
      </c>
      <c r="F9">
        <f t="shared" si="0"/>
        <v>0.32700000000000001</v>
      </c>
    </row>
    <row r="10" spans="1:6">
      <c r="C10">
        <v>15</v>
      </c>
      <c r="D10">
        <v>0.46300000000000002</v>
      </c>
      <c r="E10">
        <v>0.47699999999999998</v>
      </c>
      <c r="F10">
        <f t="shared" si="0"/>
        <v>0.47</v>
      </c>
    </row>
    <row r="11" spans="1:6">
      <c r="C11">
        <v>20</v>
      </c>
      <c r="D11">
        <v>0.56699999999999995</v>
      </c>
      <c r="E11">
        <v>0.63100000000000001</v>
      </c>
      <c r="F11">
        <f t="shared" si="0"/>
        <v>0.59899999999999998</v>
      </c>
    </row>
    <row r="12" spans="1:6">
      <c r="C12">
        <v>25</v>
      </c>
      <c r="D12">
        <v>0.70599999999999996</v>
      </c>
      <c r="E12">
        <v>0.83</v>
      </c>
      <c r="F12">
        <f t="shared" si="0"/>
        <v>0.76800000000000002</v>
      </c>
    </row>
    <row r="13" spans="1:6">
      <c r="B13" s="1"/>
      <c r="C13">
        <v>30</v>
      </c>
      <c r="D13">
        <v>0.89600000000000002</v>
      </c>
      <c r="E13">
        <v>0.91500000000000004</v>
      </c>
      <c r="F13">
        <f t="shared" si="0"/>
        <v>0.90549999999999997</v>
      </c>
    </row>
    <row r="14" spans="1:6">
      <c r="C14">
        <v>35</v>
      </c>
      <c r="D14">
        <v>1.044</v>
      </c>
      <c r="E14">
        <v>1.0289999999999999</v>
      </c>
      <c r="F14">
        <f t="shared" si="0"/>
        <v>1.0365</v>
      </c>
    </row>
    <row r="17" spans="1:30" ht="18.75">
      <c r="A17" s="1" t="s">
        <v>256</v>
      </c>
      <c r="B17" s="1"/>
      <c r="C17" s="1"/>
      <c r="D17" s="183" t="s">
        <v>220</v>
      </c>
      <c r="E17" s="183"/>
      <c r="F17" s="183"/>
      <c r="G17" s="183" t="s">
        <v>220</v>
      </c>
      <c r="H17" s="183"/>
      <c r="I17" s="183"/>
      <c r="J17" s="183" t="s">
        <v>221</v>
      </c>
      <c r="K17" s="183"/>
      <c r="L17" s="183"/>
      <c r="M17" s="183" t="s">
        <v>221</v>
      </c>
      <c r="N17" s="183"/>
      <c r="O17" s="183"/>
      <c r="P17" s="183" t="s">
        <v>220</v>
      </c>
      <c r="Q17" s="183"/>
      <c r="R17" s="183"/>
      <c r="S17" s="183" t="s">
        <v>220</v>
      </c>
      <c r="T17" s="183"/>
      <c r="U17" s="183"/>
      <c r="V17" s="183" t="s">
        <v>221</v>
      </c>
      <c r="W17" s="183"/>
      <c r="X17" s="183"/>
      <c r="Y17" s="183" t="s">
        <v>221</v>
      </c>
      <c r="Z17" s="183"/>
      <c r="AA17" s="183"/>
      <c r="AB17" s="183" t="s">
        <v>221</v>
      </c>
      <c r="AC17" s="183"/>
      <c r="AD17" s="183"/>
    </row>
    <row r="18" spans="1:30" ht="18.75">
      <c r="A18" s="1" t="s">
        <v>204</v>
      </c>
      <c r="B18" s="1"/>
      <c r="C18" s="1"/>
      <c r="D18" s="183" t="s">
        <v>220</v>
      </c>
      <c r="E18" s="183"/>
      <c r="F18" s="183"/>
      <c r="G18" s="183" t="s">
        <v>220</v>
      </c>
      <c r="H18" s="183"/>
      <c r="I18" s="183"/>
      <c r="J18" s="183" t="s">
        <v>220</v>
      </c>
      <c r="K18" s="183"/>
      <c r="L18" s="183"/>
      <c r="M18" s="183" t="s">
        <v>220</v>
      </c>
      <c r="N18" s="183"/>
      <c r="O18" s="183"/>
      <c r="P18" s="183" t="s">
        <v>221</v>
      </c>
      <c r="Q18" s="183"/>
      <c r="R18" s="183"/>
      <c r="S18" s="183" t="s">
        <v>221</v>
      </c>
      <c r="T18" s="183"/>
      <c r="U18" s="183"/>
      <c r="V18" s="183" t="s">
        <v>221</v>
      </c>
      <c r="W18" s="183"/>
      <c r="X18" s="183"/>
      <c r="Y18" s="183" t="s">
        <v>221</v>
      </c>
      <c r="Z18" s="183"/>
      <c r="AA18" s="183"/>
      <c r="AB18" s="183" t="s">
        <v>221</v>
      </c>
      <c r="AC18" s="183"/>
      <c r="AD18" s="183"/>
    </row>
    <row r="19" spans="1:30" ht="18.75">
      <c r="A19" s="1" t="s">
        <v>218</v>
      </c>
      <c r="B19" s="1"/>
      <c r="C19" s="1"/>
      <c r="D19" s="183" t="s">
        <v>220</v>
      </c>
      <c r="E19" s="183"/>
      <c r="F19" s="183"/>
      <c r="G19" s="183" t="s">
        <v>220</v>
      </c>
      <c r="H19" s="183"/>
      <c r="I19" s="183"/>
      <c r="J19" s="183" t="s">
        <v>220</v>
      </c>
      <c r="K19" s="183"/>
      <c r="L19" s="183"/>
      <c r="M19" s="183" t="s">
        <v>220</v>
      </c>
      <c r="N19" s="183"/>
      <c r="O19" s="183"/>
      <c r="P19" s="183" t="s">
        <v>220</v>
      </c>
      <c r="Q19" s="183"/>
      <c r="R19" s="183"/>
      <c r="S19" s="183" t="s">
        <v>220</v>
      </c>
      <c r="T19" s="183"/>
      <c r="U19" s="183"/>
      <c r="V19" s="183" t="s">
        <v>220</v>
      </c>
      <c r="W19" s="183"/>
      <c r="X19" s="183"/>
      <c r="Y19" s="183" t="s">
        <v>220</v>
      </c>
      <c r="Z19" s="183"/>
      <c r="AA19" s="183"/>
      <c r="AB19" s="183" t="s">
        <v>221</v>
      </c>
      <c r="AC19" s="183"/>
      <c r="AD19" s="183"/>
    </row>
    <row r="20" spans="1:30">
      <c r="C20" s="1" t="s">
        <v>586</v>
      </c>
      <c r="D20">
        <v>4.5960000000000001E-2</v>
      </c>
      <c r="E20">
        <v>4.1919999999999999E-2</v>
      </c>
      <c r="F20">
        <v>4.5499999999999999E-2</v>
      </c>
      <c r="G20">
        <v>5.8299999999999998E-2</v>
      </c>
      <c r="H20">
        <v>5.3900000000000003E-2</v>
      </c>
      <c r="I20">
        <v>0.56940000000000002</v>
      </c>
      <c r="J20">
        <v>0.19400000000000001</v>
      </c>
      <c r="K20">
        <v>0.1449</v>
      </c>
      <c r="L20">
        <v>0.15840000000000001</v>
      </c>
      <c r="M20">
        <v>0.4294</v>
      </c>
      <c r="N20">
        <v>0.4556</v>
      </c>
      <c r="O20">
        <v>0.45290000000000002</v>
      </c>
      <c r="P20">
        <v>0.23899999999999999</v>
      </c>
      <c r="Q20">
        <v>0.22539999999999999</v>
      </c>
      <c r="R20">
        <v>0.2984</v>
      </c>
      <c r="S20">
        <v>0.68300000000000005</v>
      </c>
      <c r="T20">
        <v>0.64900000000000002</v>
      </c>
      <c r="U20">
        <v>0.66100000000000003</v>
      </c>
      <c r="V20">
        <v>0.39200000000000002</v>
      </c>
      <c r="W20">
        <v>0.33800000000000002</v>
      </c>
      <c r="X20">
        <v>0.39200000000000002</v>
      </c>
      <c r="Y20">
        <v>0.875</v>
      </c>
      <c r="Z20">
        <v>0.82699999999999996</v>
      </c>
      <c r="AA20">
        <v>0.89400000000000002</v>
      </c>
      <c r="AB20">
        <v>0.59299999999999997</v>
      </c>
      <c r="AC20">
        <v>0.55600000000000005</v>
      </c>
      <c r="AD20">
        <v>0.51900000000000002</v>
      </c>
    </row>
    <row r="21" spans="1:30">
      <c r="C21" s="1" t="s">
        <v>585</v>
      </c>
      <c r="D21">
        <v>3.2899999999999999E-2</v>
      </c>
      <c r="E21">
        <v>3.5860000000000003E-2</v>
      </c>
      <c r="F21">
        <v>3.5959999999999999E-2</v>
      </c>
      <c r="G21">
        <v>5.3400000000000003E-2</v>
      </c>
      <c r="H21">
        <v>5.1200000000000002E-2</v>
      </c>
      <c r="I21">
        <v>5.3449999999999998E-2</v>
      </c>
      <c r="J21">
        <v>0.14849999999999999</v>
      </c>
      <c r="K21">
        <v>0.1241</v>
      </c>
      <c r="L21">
        <v>0.13350000000000001</v>
      </c>
      <c r="M21">
        <v>0.39500000000000002</v>
      </c>
      <c r="N21">
        <v>0.4592</v>
      </c>
      <c r="O21">
        <v>0.44519999999999998</v>
      </c>
      <c r="P21">
        <v>0.34949999999999998</v>
      </c>
      <c r="Q21">
        <v>0.39240000000000003</v>
      </c>
      <c r="R21">
        <v>0.35589999999999999</v>
      </c>
      <c r="S21">
        <v>0.58599999999999997</v>
      </c>
      <c r="T21">
        <v>0.53900000000000003</v>
      </c>
      <c r="U21">
        <v>0.52929999999999999</v>
      </c>
      <c r="V21">
        <v>0.31900000000000001</v>
      </c>
      <c r="W21">
        <v>0.33119999999999999</v>
      </c>
      <c r="X21">
        <v>0.35859999999999997</v>
      </c>
      <c r="Y21">
        <v>0.72199999999999998</v>
      </c>
      <c r="Z21">
        <v>0.73839999999999995</v>
      </c>
      <c r="AA21">
        <v>0.73839999999999995</v>
      </c>
      <c r="AB21">
        <v>0.56899999999999995</v>
      </c>
      <c r="AC21">
        <v>0.55200000000000005</v>
      </c>
      <c r="AD21">
        <v>0.51200000000000001</v>
      </c>
    </row>
    <row r="25" spans="1:30">
      <c r="B25" s="1" t="s">
        <v>578</v>
      </c>
      <c r="C25" s="1"/>
      <c r="D25">
        <f>D20-0.0287</f>
        <v>1.7260000000000001E-2</v>
      </c>
      <c r="E25">
        <f t="shared" ref="E25:AD26" si="1">E20-0.0287</f>
        <v>1.3219999999999999E-2</v>
      </c>
      <c r="F25">
        <f t="shared" si="1"/>
        <v>1.6799999999999999E-2</v>
      </c>
      <c r="G25">
        <f t="shared" si="1"/>
        <v>2.9599999999999998E-2</v>
      </c>
      <c r="H25">
        <f t="shared" si="1"/>
        <v>2.5200000000000004E-2</v>
      </c>
      <c r="I25">
        <f t="shared" si="1"/>
        <v>0.54070000000000007</v>
      </c>
      <c r="J25">
        <f t="shared" si="1"/>
        <v>0.1653</v>
      </c>
      <c r="K25">
        <f t="shared" si="1"/>
        <v>0.1162</v>
      </c>
      <c r="L25">
        <f t="shared" si="1"/>
        <v>0.12970000000000001</v>
      </c>
      <c r="M25">
        <f t="shared" si="1"/>
        <v>0.4007</v>
      </c>
      <c r="N25">
        <f t="shared" si="1"/>
        <v>0.4269</v>
      </c>
      <c r="O25">
        <f t="shared" si="1"/>
        <v>0.42420000000000002</v>
      </c>
      <c r="P25">
        <f t="shared" si="1"/>
        <v>0.21029999999999999</v>
      </c>
      <c r="Q25">
        <f t="shared" si="1"/>
        <v>0.19669999999999999</v>
      </c>
      <c r="R25">
        <f t="shared" si="1"/>
        <v>0.2697</v>
      </c>
      <c r="S25">
        <f t="shared" si="1"/>
        <v>0.6543000000000001</v>
      </c>
      <c r="T25">
        <f t="shared" si="1"/>
        <v>0.62030000000000007</v>
      </c>
      <c r="U25">
        <f t="shared" si="1"/>
        <v>0.63230000000000008</v>
      </c>
      <c r="V25">
        <f t="shared" si="1"/>
        <v>0.36330000000000001</v>
      </c>
      <c r="W25">
        <f t="shared" si="1"/>
        <v>0.30930000000000002</v>
      </c>
      <c r="X25">
        <f t="shared" si="1"/>
        <v>0.36330000000000001</v>
      </c>
      <c r="Y25">
        <f t="shared" si="1"/>
        <v>0.84630000000000005</v>
      </c>
      <c r="Z25">
        <f t="shared" si="1"/>
        <v>0.79830000000000001</v>
      </c>
      <c r="AA25">
        <f t="shared" si="1"/>
        <v>0.86530000000000007</v>
      </c>
      <c r="AB25">
        <f t="shared" si="1"/>
        <v>0.56430000000000002</v>
      </c>
      <c r="AC25">
        <f t="shared" si="1"/>
        <v>0.5273000000000001</v>
      </c>
      <c r="AD25">
        <f t="shared" si="1"/>
        <v>0.49030000000000001</v>
      </c>
    </row>
    <row r="26" spans="1:30">
      <c r="B26" s="1"/>
      <c r="C26" s="1"/>
      <c r="D26">
        <f>D21-0.0287</f>
        <v>4.1999999999999989E-3</v>
      </c>
      <c r="E26">
        <f t="shared" si="1"/>
        <v>7.1600000000000032E-3</v>
      </c>
      <c r="F26">
        <f t="shared" si="1"/>
        <v>7.2599999999999991E-3</v>
      </c>
      <c r="G26">
        <f t="shared" si="1"/>
        <v>2.4700000000000003E-2</v>
      </c>
      <c r="H26">
        <f t="shared" si="1"/>
        <v>2.2500000000000003E-2</v>
      </c>
      <c r="I26">
        <f t="shared" si="1"/>
        <v>2.4749999999999998E-2</v>
      </c>
      <c r="J26">
        <f t="shared" si="1"/>
        <v>0.11979999999999999</v>
      </c>
      <c r="K26">
        <f t="shared" si="1"/>
        <v>9.5399999999999999E-2</v>
      </c>
      <c r="L26">
        <f t="shared" si="1"/>
        <v>0.1048</v>
      </c>
      <c r="M26">
        <f t="shared" si="1"/>
        <v>0.36630000000000001</v>
      </c>
      <c r="N26">
        <f t="shared" si="1"/>
        <v>0.43049999999999999</v>
      </c>
      <c r="O26">
        <f t="shared" si="1"/>
        <v>0.41649999999999998</v>
      </c>
      <c r="P26">
        <f t="shared" si="1"/>
        <v>0.32079999999999997</v>
      </c>
      <c r="Q26">
        <f t="shared" si="1"/>
        <v>0.36370000000000002</v>
      </c>
      <c r="R26">
        <f t="shared" si="1"/>
        <v>0.32719999999999999</v>
      </c>
      <c r="S26">
        <f t="shared" si="1"/>
        <v>0.55730000000000002</v>
      </c>
      <c r="T26">
        <f t="shared" si="1"/>
        <v>0.51030000000000009</v>
      </c>
      <c r="U26">
        <f t="shared" si="1"/>
        <v>0.50060000000000004</v>
      </c>
      <c r="V26">
        <f t="shared" si="1"/>
        <v>0.2903</v>
      </c>
      <c r="W26">
        <f t="shared" si="1"/>
        <v>0.30249999999999999</v>
      </c>
      <c r="X26">
        <f t="shared" si="1"/>
        <v>0.32989999999999997</v>
      </c>
      <c r="Y26">
        <f t="shared" si="1"/>
        <v>0.69330000000000003</v>
      </c>
      <c r="Z26">
        <f t="shared" si="1"/>
        <v>0.7097</v>
      </c>
      <c r="AA26">
        <f t="shared" si="1"/>
        <v>0.7097</v>
      </c>
      <c r="AB26">
        <f t="shared" si="1"/>
        <v>0.5403</v>
      </c>
      <c r="AC26">
        <f t="shared" si="1"/>
        <v>0.5233000000000001</v>
      </c>
      <c r="AD26">
        <f t="shared" si="1"/>
        <v>0.48330000000000001</v>
      </c>
    </row>
    <row r="27" spans="1:30">
      <c r="B27" s="1"/>
      <c r="C27" s="1"/>
    </row>
    <row r="28" spans="1:30">
      <c r="B28" s="1" t="s">
        <v>579</v>
      </c>
      <c r="C28" s="1"/>
    </row>
    <row r="29" spans="1:30">
      <c r="B29" s="1" t="s">
        <v>580</v>
      </c>
      <c r="C29" s="1"/>
      <c r="D29">
        <f>D25/0.0383</f>
        <v>0.45065274151436036</v>
      </c>
      <c r="E29">
        <f t="shared" ref="E29:AD30" si="2">E25/0.0383</f>
        <v>0.34516971279373365</v>
      </c>
      <c r="F29">
        <f t="shared" si="2"/>
        <v>0.43864229765013052</v>
      </c>
      <c r="G29">
        <f t="shared" si="2"/>
        <v>0.77284595300261094</v>
      </c>
      <c r="H29">
        <f t="shared" si="2"/>
        <v>0.65796344647519589</v>
      </c>
      <c r="I29">
        <f t="shared" si="2"/>
        <v>14.117493472584858</v>
      </c>
      <c r="J29">
        <f t="shared" si="2"/>
        <v>4.315926892950392</v>
      </c>
      <c r="K29">
        <f t="shared" si="2"/>
        <v>3.0339425587467361</v>
      </c>
      <c r="L29">
        <f t="shared" si="2"/>
        <v>3.3864229765013056</v>
      </c>
      <c r="M29">
        <f t="shared" si="2"/>
        <v>10.462140992167102</v>
      </c>
      <c r="N29">
        <f t="shared" si="2"/>
        <v>11.14621409921671</v>
      </c>
      <c r="O29">
        <f t="shared" si="2"/>
        <v>11.075718015665796</v>
      </c>
      <c r="P29">
        <f t="shared" si="2"/>
        <v>5.490861618798955</v>
      </c>
      <c r="Q29">
        <f t="shared" si="2"/>
        <v>5.1357702349869445</v>
      </c>
      <c r="R29">
        <f t="shared" si="2"/>
        <v>7.0417754569190594</v>
      </c>
      <c r="S29">
        <f t="shared" si="2"/>
        <v>17.083550913838124</v>
      </c>
      <c r="T29">
        <f t="shared" si="2"/>
        <v>16.195822454308097</v>
      </c>
      <c r="U29">
        <f t="shared" si="2"/>
        <v>16.509138381201048</v>
      </c>
      <c r="V29">
        <f t="shared" si="2"/>
        <v>9.485639686684074</v>
      </c>
      <c r="W29">
        <f t="shared" si="2"/>
        <v>8.0757180156657959</v>
      </c>
      <c r="X29">
        <f t="shared" si="2"/>
        <v>9.485639686684074</v>
      </c>
      <c r="Y29">
        <f t="shared" si="2"/>
        <v>22.096605744125327</v>
      </c>
      <c r="Z29">
        <f t="shared" si="2"/>
        <v>20.843342036553526</v>
      </c>
      <c r="AA29">
        <f t="shared" si="2"/>
        <v>22.592689295039165</v>
      </c>
      <c r="AB29">
        <f t="shared" si="2"/>
        <v>14.733681462140993</v>
      </c>
      <c r="AC29">
        <f t="shared" si="2"/>
        <v>13.76762402088773</v>
      </c>
      <c r="AD29">
        <f t="shared" si="2"/>
        <v>12.801566579634464</v>
      </c>
    </row>
    <row r="30" spans="1:30">
      <c r="B30" s="1"/>
      <c r="C30" s="1"/>
      <c r="D30">
        <f>D26/0.0383</f>
        <v>0.1096605744125326</v>
      </c>
      <c r="E30">
        <f t="shared" si="2"/>
        <v>0.18694516971279382</v>
      </c>
      <c r="F30">
        <f t="shared" si="2"/>
        <v>0.18955613577023495</v>
      </c>
      <c r="G30">
        <f t="shared" si="2"/>
        <v>0.64490861618798967</v>
      </c>
      <c r="H30">
        <f t="shared" si="2"/>
        <v>0.58746736292428203</v>
      </c>
      <c r="I30">
        <f t="shared" si="2"/>
        <v>0.64621409921671014</v>
      </c>
      <c r="J30">
        <f t="shared" si="2"/>
        <v>3.1279373368146213</v>
      </c>
      <c r="K30">
        <f t="shared" si="2"/>
        <v>2.4908616187989554</v>
      </c>
      <c r="L30">
        <f t="shared" si="2"/>
        <v>2.7362924281984333</v>
      </c>
      <c r="M30">
        <f t="shared" si="2"/>
        <v>9.5639686684073109</v>
      </c>
      <c r="N30">
        <f t="shared" si="2"/>
        <v>11.240208877284594</v>
      </c>
      <c r="O30">
        <f t="shared" si="2"/>
        <v>10.874673629242819</v>
      </c>
      <c r="P30">
        <f t="shared" si="2"/>
        <v>8.3759791122715388</v>
      </c>
      <c r="Q30">
        <f t="shared" si="2"/>
        <v>9.4960835509138377</v>
      </c>
      <c r="R30">
        <f t="shared" si="2"/>
        <v>8.5430809399477798</v>
      </c>
      <c r="S30">
        <f t="shared" si="2"/>
        <v>14.550913838120104</v>
      </c>
      <c r="T30">
        <f t="shared" si="2"/>
        <v>13.323759791122717</v>
      </c>
      <c r="U30">
        <f t="shared" si="2"/>
        <v>13.070496083550914</v>
      </c>
      <c r="V30">
        <f t="shared" si="2"/>
        <v>7.5796344647519582</v>
      </c>
      <c r="W30">
        <f t="shared" si="2"/>
        <v>7.8981723237597912</v>
      </c>
      <c r="X30">
        <f t="shared" si="2"/>
        <v>8.6135770234986939</v>
      </c>
      <c r="Y30">
        <f t="shared" si="2"/>
        <v>18.101827676240209</v>
      </c>
      <c r="Z30">
        <f t="shared" si="2"/>
        <v>18.530026109660575</v>
      </c>
      <c r="AA30">
        <f t="shared" si="2"/>
        <v>18.530026109660575</v>
      </c>
      <c r="AB30">
        <f t="shared" si="2"/>
        <v>14.107049608355091</v>
      </c>
      <c r="AC30">
        <f t="shared" si="2"/>
        <v>13.663185378590081</v>
      </c>
      <c r="AD30">
        <f t="shared" si="2"/>
        <v>12.618798955613578</v>
      </c>
    </row>
    <row r="31" spans="1:30">
      <c r="B31" s="1"/>
      <c r="C31" s="1"/>
    </row>
    <row r="32" spans="1:30">
      <c r="B32" s="1"/>
      <c r="C32" s="1"/>
    </row>
    <row r="33" spans="2:30">
      <c r="B33" s="1" t="s">
        <v>581</v>
      </c>
      <c r="C33" s="1"/>
      <c r="D33">
        <f>200/100</f>
        <v>2</v>
      </c>
      <c r="E33">
        <f t="shared" ref="E33:AD34" si="3">200/100</f>
        <v>2</v>
      </c>
      <c r="F33">
        <f t="shared" si="3"/>
        <v>2</v>
      </c>
      <c r="G33">
        <f t="shared" si="3"/>
        <v>2</v>
      </c>
      <c r="H33">
        <f t="shared" si="3"/>
        <v>2</v>
      </c>
      <c r="I33">
        <f t="shared" si="3"/>
        <v>2</v>
      </c>
      <c r="J33">
        <f t="shared" si="3"/>
        <v>2</v>
      </c>
      <c r="K33">
        <f t="shared" si="3"/>
        <v>2</v>
      </c>
      <c r="L33">
        <f t="shared" si="3"/>
        <v>2</v>
      </c>
      <c r="M33">
        <f t="shared" si="3"/>
        <v>2</v>
      </c>
      <c r="N33">
        <f t="shared" si="3"/>
        <v>2</v>
      </c>
      <c r="O33">
        <f t="shared" si="3"/>
        <v>2</v>
      </c>
      <c r="P33">
        <f t="shared" si="3"/>
        <v>2</v>
      </c>
      <c r="Q33">
        <f t="shared" si="3"/>
        <v>2</v>
      </c>
      <c r="R33">
        <f t="shared" si="3"/>
        <v>2</v>
      </c>
      <c r="S33">
        <f t="shared" si="3"/>
        <v>2</v>
      </c>
      <c r="T33">
        <f t="shared" si="3"/>
        <v>2</v>
      </c>
      <c r="U33">
        <f t="shared" si="3"/>
        <v>2</v>
      </c>
      <c r="V33">
        <f t="shared" si="3"/>
        <v>2</v>
      </c>
      <c r="W33">
        <f t="shared" si="3"/>
        <v>2</v>
      </c>
      <c r="X33">
        <f t="shared" si="3"/>
        <v>2</v>
      </c>
      <c r="Y33">
        <f t="shared" si="3"/>
        <v>2</v>
      </c>
      <c r="Z33">
        <f t="shared" si="3"/>
        <v>2</v>
      </c>
      <c r="AA33">
        <f t="shared" si="3"/>
        <v>2</v>
      </c>
      <c r="AB33">
        <f t="shared" si="3"/>
        <v>2</v>
      </c>
      <c r="AC33">
        <f t="shared" si="3"/>
        <v>2</v>
      </c>
      <c r="AD33">
        <f t="shared" si="3"/>
        <v>2</v>
      </c>
    </row>
    <row r="34" spans="2:30">
      <c r="B34" s="1"/>
      <c r="C34" s="1"/>
      <c r="D34">
        <f>200/100</f>
        <v>2</v>
      </c>
      <c r="E34">
        <f t="shared" si="3"/>
        <v>2</v>
      </c>
      <c r="F34">
        <f t="shared" si="3"/>
        <v>2</v>
      </c>
      <c r="G34">
        <f t="shared" si="3"/>
        <v>2</v>
      </c>
      <c r="H34">
        <f t="shared" si="3"/>
        <v>2</v>
      </c>
      <c r="I34">
        <f t="shared" si="3"/>
        <v>2</v>
      </c>
      <c r="J34">
        <f t="shared" si="3"/>
        <v>2</v>
      </c>
      <c r="K34">
        <f t="shared" si="3"/>
        <v>2</v>
      </c>
      <c r="L34">
        <f t="shared" si="3"/>
        <v>2</v>
      </c>
      <c r="M34">
        <f t="shared" si="3"/>
        <v>2</v>
      </c>
      <c r="N34">
        <f t="shared" si="3"/>
        <v>2</v>
      </c>
      <c r="O34">
        <f t="shared" si="3"/>
        <v>2</v>
      </c>
      <c r="P34">
        <f t="shared" si="3"/>
        <v>2</v>
      </c>
      <c r="Q34">
        <f t="shared" si="3"/>
        <v>2</v>
      </c>
      <c r="R34">
        <f t="shared" si="3"/>
        <v>2</v>
      </c>
      <c r="S34">
        <f t="shared" si="3"/>
        <v>2</v>
      </c>
      <c r="T34">
        <f t="shared" si="3"/>
        <v>2</v>
      </c>
      <c r="U34">
        <f t="shared" si="3"/>
        <v>2</v>
      </c>
      <c r="V34">
        <f t="shared" si="3"/>
        <v>2</v>
      </c>
      <c r="W34">
        <f t="shared" si="3"/>
        <v>2</v>
      </c>
      <c r="X34">
        <f t="shared" si="3"/>
        <v>2</v>
      </c>
      <c r="Y34">
        <f t="shared" si="3"/>
        <v>2</v>
      </c>
      <c r="Z34">
        <f t="shared" si="3"/>
        <v>2</v>
      </c>
      <c r="AA34">
        <f t="shared" si="3"/>
        <v>2</v>
      </c>
      <c r="AB34">
        <f t="shared" si="3"/>
        <v>2</v>
      </c>
      <c r="AC34">
        <f t="shared" si="3"/>
        <v>2</v>
      </c>
      <c r="AD34">
        <f t="shared" si="3"/>
        <v>2</v>
      </c>
    </row>
    <row r="35" spans="2:30">
      <c r="B35" s="1"/>
      <c r="C35" s="1"/>
    </row>
    <row r="36" spans="2:30">
      <c r="B36" s="1" t="s">
        <v>582</v>
      </c>
      <c r="C36" s="1"/>
    </row>
    <row r="37" spans="2:30">
      <c r="D37">
        <f>D29*D33</f>
        <v>0.90130548302872071</v>
      </c>
      <c r="E37">
        <f t="shared" ref="E37:AD38" si="4">E29*E33</f>
        <v>0.6903394255874673</v>
      </c>
      <c r="F37">
        <f t="shared" si="4"/>
        <v>0.87728459530026104</v>
      </c>
      <c r="G37">
        <f t="shared" si="4"/>
        <v>1.5456919060052219</v>
      </c>
      <c r="H37">
        <f t="shared" si="4"/>
        <v>1.3159268929503918</v>
      </c>
      <c r="I37">
        <f t="shared" si="4"/>
        <v>28.234986945169716</v>
      </c>
      <c r="J37">
        <f t="shared" si="4"/>
        <v>8.631853785900784</v>
      </c>
      <c r="K37">
        <f t="shared" si="4"/>
        <v>6.0678851174934723</v>
      </c>
      <c r="L37">
        <f t="shared" si="4"/>
        <v>6.7728459530026113</v>
      </c>
      <c r="M37">
        <f t="shared" si="4"/>
        <v>20.924281984334204</v>
      </c>
      <c r="N37">
        <f t="shared" si="4"/>
        <v>22.29242819843342</v>
      </c>
      <c r="O37">
        <f t="shared" si="4"/>
        <v>22.151436031331592</v>
      </c>
      <c r="P37">
        <f t="shared" si="4"/>
        <v>10.98172323759791</v>
      </c>
      <c r="Q37">
        <f t="shared" si="4"/>
        <v>10.271540469973889</v>
      </c>
      <c r="R37">
        <f t="shared" si="4"/>
        <v>14.083550913838119</v>
      </c>
      <c r="S37">
        <f t="shared" si="4"/>
        <v>34.167101827676248</v>
      </c>
      <c r="T37">
        <f t="shared" si="4"/>
        <v>32.391644908616193</v>
      </c>
      <c r="U37">
        <f t="shared" si="4"/>
        <v>33.018276762402095</v>
      </c>
      <c r="V37">
        <f t="shared" si="4"/>
        <v>18.971279373368148</v>
      </c>
      <c r="W37">
        <f t="shared" si="4"/>
        <v>16.151436031331592</v>
      </c>
      <c r="X37">
        <f t="shared" si="4"/>
        <v>18.971279373368148</v>
      </c>
      <c r="Y37">
        <f t="shared" si="4"/>
        <v>44.193211488250654</v>
      </c>
      <c r="Z37">
        <f t="shared" si="4"/>
        <v>41.686684073107052</v>
      </c>
      <c r="AA37">
        <f t="shared" si="4"/>
        <v>45.185378590078329</v>
      </c>
      <c r="AB37">
        <f t="shared" si="4"/>
        <v>29.467362924281986</v>
      </c>
      <c r="AC37">
        <f t="shared" si="4"/>
        <v>27.535248041775461</v>
      </c>
      <c r="AD37">
        <f t="shared" si="4"/>
        <v>25.603133159268928</v>
      </c>
    </row>
    <row r="38" spans="2:30">
      <c r="D38">
        <f>D30*D34</f>
        <v>0.2193211488250652</v>
      </c>
      <c r="E38">
        <f t="shared" si="4"/>
        <v>0.37389033942558764</v>
      </c>
      <c r="F38">
        <f t="shared" si="4"/>
        <v>0.37911227154046989</v>
      </c>
      <c r="G38">
        <f t="shared" si="4"/>
        <v>1.2898172323759793</v>
      </c>
      <c r="H38">
        <f t="shared" si="4"/>
        <v>1.1749347258485641</v>
      </c>
      <c r="I38">
        <f t="shared" si="4"/>
        <v>1.2924281984334203</v>
      </c>
      <c r="J38">
        <f t="shared" si="4"/>
        <v>6.2558746736292425</v>
      </c>
      <c r="K38">
        <f t="shared" si="4"/>
        <v>4.9817232375979108</v>
      </c>
      <c r="L38">
        <f t="shared" si="4"/>
        <v>5.4725848563968666</v>
      </c>
      <c r="M38">
        <f t="shared" si="4"/>
        <v>19.127937336814622</v>
      </c>
      <c r="N38">
        <f t="shared" si="4"/>
        <v>22.480417754569189</v>
      </c>
      <c r="O38">
        <f t="shared" si="4"/>
        <v>21.749347258485638</v>
      </c>
      <c r="P38">
        <f t="shared" si="4"/>
        <v>16.751958224543078</v>
      </c>
      <c r="Q38">
        <f t="shared" si="4"/>
        <v>18.992167101827675</v>
      </c>
      <c r="R38">
        <f t="shared" si="4"/>
        <v>17.08616187989556</v>
      </c>
      <c r="S38">
        <f t="shared" si="4"/>
        <v>29.101827676240209</v>
      </c>
      <c r="T38">
        <f t="shared" si="4"/>
        <v>26.647519582245433</v>
      </c>
      <c r="U38">
        <f t="shared" si="4"/>
        <v>26.140992167101828</v>
      </c>
      <c r="V38">
        <f t="shared" si="4"/>
        <v>15.159268929503916</v>
      </c>
      <c r="W38">
        <f t="shared" si="4"/>
        <v>15.796344647519582</v>
      </c>
      <c r="X38">
        <f t="shared" si="4"/>
        <v>17.227154046997388</v>
      </c>
      <c r="Y38">
        <f t="shared" si="4"/>
        <v>36.203655352480418</v>
      </c>
      <c r="Z38">
        <f t="shared" si="4"/>
        <v>37.06005221932115</v>
      </c>
      <c r="AA38">
        <f t="shared" si="4"/>
        <v>37.06005221932115</v>
      </c>
      <c r="AB38">
        <f t="shared" si="4"/>
        <v>28.214099216710181</v>
      </c>
      <c r="AC38">
        <f t="shared" si="4"/>
        <v>27.326370757180161</v>
      </c>
      <c r="AD38">
        <f t="shared" si="4"/>
        <v>25.237597911227155</v>
      </c>
    </row>
    <row r="42" spans="2:30">
      <c r="B42" s="1" t="s">
        <v>583</v>
      </c>
    </row>
    <row r="44" spans="2:30">
      <c r="D44">
        <f>D37*10</f>
        <v>9.0130548302872064</v>
      </c>
      <c r="E44">
        <f t="shared" ref="E44:AD45" si="5">E37*10</f>
        <v>6.903394255874673</v>
      </c>
      <c r="F44">
        <f t="shared" si="5"/>
        <v>8.7728459530026104</v>
      </c>
      <c r="G44">
        <f t="shared" si="5"/>
        <v>15.456919060052218</v>
      </c>
      <c r="H44">
        <f t="shared" si="5"/>
        <v>13.159268929503918</v>
      </c>
      <c r="I44">
        <f t="shared" si="5"/>
        <v>282.34986945169715</v>
      </c>
      <c r="J44">
        <f t="shared" si="5"/>
        <v>86.318537859007847</v>
      </c>
      <c r="K44">
        <f t="shared" si="5"/>
        <v>60.678851174934721</v>
      </c>
      <c r="L44">
        <f t="shared" si="5"/>
        <v>67.728459530026115</v>
      </c>
      <c r="M44">
        <f t="shared" si="5"/>
        <v>209.24281984334203</v>
      </c>
      <c r="N44">
        <f t="shared" si="5"/>
        <v>222.92428198433419</v>
      </c>
      <c r="O44">
        <f t="shared" si="5"/>
        <v>221.51436031331593</v>
      </c>
      <c r="P44">
        <f t="shared" si="5"/>
        <v>109.8172323759791</v>
      </c>
      <c r="Q44">
        <f t="shared" si="5"/>
        <v>102.71540469973888</v>
      </c>
      <c r="R44">
        <f t="shared" si="5"/>
        <v>140.83550913838118</v>
      </c>
      <c r="S44">
        <f t="shared" si="5"/>
        <v>341.67101827676248</v>
      </c>
      <c r="T44">
        <f t="shared" si="5"/>
        <v>323.91644908616195</v>
      </c>
      <c r="U44">
        <f t="shared" si="5"/>
        <v>330.18276762402093</v>
      </c>
      <c r="V44">
        <f t="shared" si="5"/>
        <v>189.71279373368148</v>
      </c>
      <c r="W44">
        <f t="shared" si="5"/>
        <v>161.51436031331593</v>
      </c>
      <c r="X44">
        <f t="shared" si="5"/>
        <v>189.71279373368148</v>
      </c>
      <c r="Y44">
        <f t="shared" si="5"/>
        <v>441.93211488250654</v>
      </c>
      <c r="Z44">
        <f t="shared" si="5"/>
        <v>416.86684073107051</v>
      </c>
      <c r="AA44">
        <f t="shared" si="5"/>
        <v>451.85378590078329</v>
      </c>
      <c r="AB44">
        <f t="shared" si="5"/>
        <v>294.67362924281986</v>
      </c>
      <c r="AC44">
        <f t="shared" si="5"/>
        <v>275.35248041775458</v>
      </c>
      <c r="AD44">
        <f t="shared" si="5"/>
        <v>256.0313315926893</v>
      </c>
    </row>
    <row r="45" spans="2:30">
      <c r="D45">
        <f>D38*10</f>
        <v>2.1932114882506522</v>
      </c>
      <c r="E45">
        <f t="shared" si="5"/>
        <v>3.7389033942558765</v>
      </c>
      <c r="F45">
        <f t="shared" si="5"/>
        <v>3.7911227154046987</v>
      </c>
      <c r="G45">
        <f t="shared" si="5"/>
        <v>12.898172323759793</v>
      </c>
      <c r="H45">
        <f t="shared" si="5"/>
        <v>11.74934725848564</v>
      </c>
      <c r="I45">
        <f t="shared" si="5"/>
        <v>12.924281984334202</v>
      </c>
      <c r="J45">
        <f t="shared" si="5"/>
        <v>62.558746736292427</v>
      </c>
      <c r="K45">
        <f t="shared" si="5"/>
        <v>49.81723237597911</v>
      </c>
      <c r="L45">
        <f t="shared" si="5"/>
        <v>54.725848563968668</v>
      </c>
      <c r="M45">
        <f t="shared" si="5"/>
        <v>191.27937336814622</v>
      </c>
      <c r="N45">
        <f t="shared" si="5"/>
        <v>224.80417754569189</v>
      </c>
      <c r="O45">
        <f t="shared" si="5"/>
        <v>217.49347258485639</v>
      </c>
      <c r="P45">
        <f t="shared" si="5"/>
        <v>167.51958224543077</v>
      </c>
      <c r="Q45">
        <f t="shared" si="5"/>
        <v>189.92167101827675</v>
      </c>
      <c r="R45">
        <f t="shared" si="5"/>
        <v>170.86161879895559</v>
      </c>
      <c r="S45">
        <f t="shared" si="5"/>
        <v>291.01827676240208</v>
      </c>
      <c r="T45">
        <f t="shared" si="5"/>
        <v>266.47519582245434</v>
      </c>
      <c r="U45">
        <f t="shared" si="5"/>
        <v>261.40992167101831</v>
      </c>
      <c r="V45">
        <f t="shared" si="5"/>
        <v>151.59268929503918</v>
      </c>
      <c r="W45">
        <f t="shared" si="5"/>
        <v>157.96344647519584</v>
      </c>
      <c r="X45">
        <f t="shared" si="5"/>
        <v>172.27154046997387</v>
      </c>
      <c r="Y45">
        <f t="shared" si="5"/>
        <v>362.03655352480416</v>
      </c>
      <c r="Z45">
        <f t="shared" si="5"/>
        <v>370.60052219321153</v>
      </c>
      <c r="AA45">
        <f t="shared" si="5"/>
        <v>370.60052219321153</v>
      </c>
      <c r="AB45">
        <f t="shared" si="5"/>
        <v>282.14099216710179</v>
      </c>
      <c r="AC45">
        <f t="shared" si="5"/>
        <v>273.2637075718016</v>
      </c>
      <c r="AD45">
        <f t="shared" si="5"/>
        <v>252.37597911227155</v>
      </c>
    </row>
    <row r="49" spans="2:2">
      <c r="B49" s="1"/>
    </row>
  </sheetData>
  <mergeCells count="27">
    <mergeCell ref="Y19:AA19"/>
    <mergeCell ref="AB19:AD19"/>
    <mergeCell ref="V18:X18"/>
    <mergeCell ref="Y18:AA18"/>
    <mergeCell ref="AB18:AD18"/>
    <mergeCell ref="S19:U19"/>
    <mergeCell ref="V19:X19"/>
    <mergeCell ref="D18:F18"/>
    <mergeCell ref="G18:I18"/>
    <mergeCell ref="J18:L18"/>
    <mergeCell ref="M18:O18"/>
    <mergeCell ref="P18:R18"/>
    <mergeCell ref="S18:U18"/>
    <mergeCell ref="D19:F19"/>
    <mergeCell ref="G19:I19"/>
    <mergeCell ref="J19:L19"/>
    <mergeCell ref="M19:O19"/>
    <mergeCell ref="P19:R19"/>
    <mergeCell ref="S17:U17"/>
    <mergeCell ref="V17:X17"/>
    <mergeCell ref="Y17:AA17"/>
    <mergeCell ref="AB17:AD17"/>
    <mergeCell ref="D17:F17"/>
    <mergeCell ref="G17:I17"/>
    <mergeCell ref="J17:L17"/>
    <mergeCell ref="M17:O17"/>
    <mergeCell ref="P17:R17"/>
  </mergeCells>
  <pageMargins left="0.7" right="0.7" top="0.75" bottom="0.75" header="0.3" footer="0.3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1"/>
  <sheetViews>
    <sheetView topLeftCell="A147" workbookViewId="0"/>
  </sheetViews>
  <sheetFormatPr defaultRowHeight="15"/>
  <sheetData>
    <row r="1" spans="1:6">
      <c r="A1" s="1" t="s">
        <v>759</v>
      </c>
    </row>
    <row r="6" spans="1:6">
      <c r="C6" s="1" t="s">
        <v>577</v>
      </c>
      <c r="F6" s="1" t="s">
        <v>576</v>
      </c>
    </row>
    <row r="7" spans="1:6">
      <c r="C7">
        <v>0</v>
      </c>
      <c r="D7">
        <v>3.1E-2</v>
      </c>
      <c r="E7">
        <v>3.4000000000000002E-2</v>
      </c>
      <c r="F7">
        <f>AVERAGE(D7:E7)</f>
        <v>3.2500000000000001E-2</v>
      </c>
    </row>
    <row r="8" spans="1:6">
      <c r="C8">
        <v>5</v>
      </c>
      <c r="D8">
        <v>0.19</v>
      </c>
      <c r="E8">
        <v>0.188</v>
      </c>
      <c r="F8">
        <f t="shared" ref="F8:F14" si="0">AVERAGE(D8:E8)</f>
        <v>0.189</v>
      </c>
    </row>
    <row r="9" spans="1:6">
      <c r="C9">
        <v>10</v>
      </c>
      <c r="D9">
        <v>0.32400000000000001</v>
      </c>
      <c r="E9">
        <v>0.33</v>
      </c>
      <c r="F9">
        <f t="shared" si="0"/>
        <v>0.32700000000000001</v>
      </c>
    </row>
    <row r="10" spans="1:6">
      <c r="C10">
        <v>15</v>
      </c>
      <c r="D10">
        <v>0.46300000000000002</v>
      </c>
      <c r="E10">
        <v>0.47699999999999998</v>
      </c>
      <c r="F10">
        <f t="shared" si="0"/>
        <v>0.47</v>
      </c>
    </row>
    <row r="11" spans="1:6">
      <c r="C11">
        <v>20</v>
      </c>
      <c r="D11">
        <v>0.56699999999999995</v>
      </c>
      <c r="E11">
        <v>0.63100000000000001</v>
      </c>
      <c r="F11">
        <f t="shared" si="0"/>
        <v>0.59899999999999998</v>
      </c>
    </row>
    <row r="12" spans="1:6">
      <c r="C12">
        <v>25</v>
      </c>
      <c r="D12">
        <v>0.70599999999999996</v>
      </c>
      <c r="E12">
        <v>0.83</v>
      </c>
      <c r="F12">
        <f t="shared" si="0"/>
        <v>0.76800000000000002</v>
      </c>
    </row>
    <row r="13" spans="1:6">
      <c r="B13" s="1"/>
      <c r="C13">
        <v>30</v>
      </c>
      <c r="D13">
        <v>0.89600000000000002</v>
      </c>
      <c r="E13">
        <v>0.91500000000000004</v>
      </c>
      <c r="F13">
        <f t="shared" si="0"/>
        <v>0.90549999999999997</v>
      </c>
    </row>
    <row r="14" spans="1:6">
      <c r="C14">
        <v>35</v>
      </c>
      <c r="D14">
        <v>1.044</v>
      </c>
      <c r="E14">
        <v>1.0289999999999999</v>
      </c>
      <c r="F14">
        <f t="shared" si="0"/>
        <v>1.0365</v>
      </c>
    </row>
    <row r="17" spans="1:15" ht="18.75">
      <c r="A17" s="1"/>
      <c r="B17" s="1"/>
      <c r="C17" s="1" t="s">
        <v>587</v>
      </c>
      <c r="D17" s="132"/>
      <c r="E17" s="132"/>
      <c r="F17" s="132"/>
      <c r="G17" s="183"/>
      <c r="H17" s="183"/>
      <c r="I17" s="183"/>
      <c r="J17" s="183"/>
      <c r="K17" s="183"/>
      <c r="L17" s="183"/>
      <c r="M17" s="183"/>
      <c r="N17" s="183"/>
      <c r="O17" s="183"/>
    </row>
    <row r="18" spans="1:15" ht="18.75">
      <c r="A18" s="1" t="s">
        <v>307</v>
      </c>
      <c r="B18" s="1"/>
      <c r="C18" s="1"/>
      <c r="D18" s="183"/>
      <c r="E18" s="183"/>
      <c r="F18" s="183"/>
      <c r="G18" s="183"/>
      <c r="H18" s="183"/>
      <c r="I18" s="183"/>
      <c r="J18" s="183"/>
      <c r="K18" s="183"/>
      <c r="L18" s="183"/>
      <c r="M18" s="183"/>
      <c r="N18" s="183"/>
      <c r="O18" s="183"/>
    </row>
    <row r="19" spans="1:15" ht="18.75">
      <c r="A19" s="1"/>
      <c r="B19" s="1"/>
      <c r="C19" s="1"/>
      <c r="D19" s="183" t="s">
        <v>174</v>
      </c>
      <c r="E19" s="183"/>
      <c r="F19" s="183"/>
      <c r="G19" s="183" t="s">
        <v>175</v>
      </c>
      <c r="H19" s="183"/>
      <c r="I19" s="183"/>
      <c r="J19" s="183" t="s">
        <v>176</v>
      </c>
      <c r="K19" s="183"/>
      <c r="L19" s="183"/>
      <c r="M19" s="183" t="s">
        <v>177</v>
      </c>
      <c r="N19" s="183"/>
      <c r="O19" s="183"/>
    </row>
    <row r="20" spans="1:15">
      <c r="C20" s="1" t="s">
        <v>586</v>
      </c>
      <c r="D20">
        <v>4.8500000000000001E-2</v>
      </c>
      <c r="E20">
        <v>4.3799999999999999E-2</v>
      </c>
      <c r="F20">
        <v>4.1099999999999998E-2</v>
      </c>
      <c r="G20">
        <v>0.89400000000000002</v>
      </c>
      <c r="H20">
        <v>0.82699999999999996</v>
      </c>
      <c r="I20">
        <v>0.81720000000000004</v>
      </c>
      <c r="J20">
        <v>0.6673</v>
      </c>
      <c r="K20">
        <v>0.64200000000000002</v>
      </c>
      <c r="L20">
        <v>0.61499999999999999</v>
      </c>
      <c r="M20">
        <v>0.93700000000000006</v>
      </c>
      <c r="N20">
        <v>0.96099999999999997</v>
      </c>
      <c r="O20">
        <v>0.97299999999999998</v>
      </c>
    </row>
    <row r="21" spans="1:15">
      <c r="C21" s="1"/>
    </row>
    <row r="25" spans="1:15">
      <c r="B25" s="1" t="s">
        <v>578</v>
      </c>
      <c r="C25" s="1"/>
      <c r="D25">
        <f>D20-0.0287</f>
        <v>1.9800000000000002E-2</v>
      </c>
      <c r="E25">
        <f t="shared" ref="E25:O25" si="1">E20-0.0287</f>
        <v>1.5099999999999999E-2</v>
      </c>
      <c r="F25">
        <f t="shared" si="1"/>
        <v>1.2399999999999998E-2</v>
      </c>
      <c r="G25">
        <f t="shared" si="1"/>
        <v>0.86530000000000007</v>
      </c>
      <c r="H25">
        <f t="shared" si="1"/>
        <v>0.79830000000000001</v>
      </c>
      <c r="I25">
        <f t="shared" si="1"/>
        <v>0.78850000000000009</v>
      </c>
      <c r="J25">
        <f t="shared" si="1"/>
        <v>0.63860000000000006</v>
      </c>
      <c r="K25">
        <f t="shared" si="1"/>
        <v>0.61330000000000007</v>
      </c>
      <c r="L25">
        <f t="shared" si="1"/>
        <v>0.58630000000000004</v>
      </c>
      <c r="M25">
        <f t="shared" si="1"/>
        <v>0.90830000000000011</v>
      </c>
      <c r="N25">
        <f t="shared" si="1"/>
        <v>0.93230000000000002</v>
      </c>
      <c r="O25">
        <f t="shared" si="1"/>
        <v>0.94430000000000003</v>
      </c>
    </row>
    <row r="26" spans="1:15">
      <c r="B26" s="1"/>
      <c r="C26" s="1"/>
    </row>
    <row r="27" spans="1:15">
      <c r="B27" s="1"/>
      <c r="C27" s="1"/>
    </row>
    <row r="28" spans="1:15">
      <c r="B28" s="1" t="s">
        <v>579</v>
      </c>
      <c r="C28" s="1"/>
    </row>
    <row r="29" spans="1:15">
      <c r="B29" s="1" t="s">
        <v>580</v>
      </c>
      <c r="C29" s="1"/>
      <c r="D29">
        <f>D25/0.0383</f>
        <v>0.51697127937336818</v>
      </c>
      <c r="E29">
        <f t="shared" ref="E29:O29" si="2">E25/0.0383</f>
        <v>0.39425587467362921</v>
      </c>
      <c r="F29">
        <f t="shared" si="2"/>
        <v>0.32375979112271536</v>
      </c>
      <c r="G29">
        <f t="shared" si="2"/>
        <v>22.592689295039165</v>
      </c>
      <c r="H29">
        <f t="shared" si="2"/>
        <v>20.843342036553526</v>
      </c>
      <c r="I29">
        <f t="shared" si="2"/>
        <v>20.587467362924283</v>
      </c>
      <c r="J29">
        <f t="shared" si="2"/>
        <v>16.673629242819846</v>
      </c>
      <c r="K29">
        <f t="shared" si="2"/>
        <v>16.013054830287206</v>
      </c>
      <c r="L29">
        <f t="shared" si="2"/>
        <v>15.308093994778069</v>
      </c>
      <c r="M29">
        <f t="shared" si="2"/>
        <v>23.715404699738905</v>
      </c>
      <c r="N29">
        <f t="shared" si="2"/>
        <v>24.342036553524803</v>
      </c>
      <c r="O29">
        <f t="shared" si="2"/>
        <v>24.655352480417754</v>
      </c>
    </row>
    <row r="30" spans="1:15">
      <c r="B30" s="1"/>
      <c r="C30" s="1"/>
    </row>
    <row r="31" spans="1:15">
      <c r="B31" s="1"/>
      <c r="C31" s="1"/>
    </row>
    <row r="32" spans="1:15">
      <c r="B32" s="1"/>
      <c r="C32" s="1"/>
    </row>
    <row r="33" spans="2:15">
      <c r="B33" s="1" t="s">
        <v>581</v>
      </c>
      <c r="C33" s="1"/>
      <c r="D33">
        <f>200/100</f>
        <v>2</v>
      </c>
      <c r="E33">
        <f t="shared" ref="E33:O33" si="3">200/100</f>
        <v>2</v>
      </c>
      <c r="F33">
        <f t="shared" si="3"/>
        <v>2</v>
      </c>
      <c r="G33">
        <f t="shared" si="3"/>
        <v>2</v>
      </c>
      <c r="H33">
        <f t="shared" si="3"/>
        <v>2</v>
      </c>
      <c r="I33">
        <f t="shared" si="3"/>
        <v>2</v>
      </c>
      <c r="J33">
        <f t="shared" si="3"/>
        <v>2</v>
      </c>
      <c r="K33">
        <f t="shared" si="3"/>
        <v>2</v>
      </c>
      <c r="L33">
        <f t="shared" si="3"/>
        <v>2</v>
      </c>
      <c r="M33">
        <f t="shared" si="3"/>
        <v>2</v>
      </c>
      <c r="N33">
        <f t="shared" si="3"/>
        <v>2</v>
      </c>
      <c r="O33">
        <f t="shared" si="3"/>
        <v>2</v>
      </c>
    </row>
    <row r="34" spans="2:15">
      <c r="B34" s="1"/>
      <c r="C34" s="1"/>
    </row>
    <row r="35" spans="2:15">
      <c r="B35" s="1"/>
      <c r="C35" s="1"/>
    </row>
    <row r="36" spans="2:15">
      <c r="B36" s="1" t="s">
        <v>582</v>
      </c>
      <c r="C36" s="1"/>
    </row>
    <row r="37" spans="2:15">
      <c r="D37">
        <f>D29*D33</f>
        <v>1.0339425587467364</v>
      </c>
      <c r="E37">
        <f t="shared" ref="E37:O37" si="4">E29*E33</f>
        <v>0.78851174934725843</v>
      </c>
      <c r="F37">
        <f t="shared" si="4"/>
        <v>0.64751958224543071</v>
      </c>
      <c r="G37">
        <f t="shared" si="4"/>
        <v>45.185378590078329</v>
      </c>
      <c r="H37">
        <f t="shared" si="4"/>
        <v>41.686684073107052</v>
      </c>
      <c r="I37">
        <f t="shared" si="4"/>
        <v>41.174934725848566</v>
      </c>
      <c r="J37">
        <f t="shared" si="4"/>
        <v>33.347258485639692</v>
      </c>
      <c r="K37">
        <f t="shared" si="4"/>
        <v>32.026109660574413</v>
      </c>
      <c r="L37">
        <f t="shared" si="4"/>
        <v>30.616187989556138</v>
      </c>
      <c r="M37">
        <f t="shared" si="4"/>
        <v>47.430809399477809</v>
      </c>
      <c r="N37">
        <f t="shared" si="4"/>
        <v>48.684073107049606</v>
      </c>
      <c r="O37">
        <f t="shared" si="4"/>
        <v>49.310704960835508</v>
      </c>
    </row>
    <row r="42" spans="2:15">
      <c r="B42" s="1" t="s">
        <v>583</v>
      </c>
    </row>
    <row r="44" spans="2:15">
      <c r="D44">
        <f>D37*10</f>
        <v>10.339425587467364</v>
      </c>
      <c r="E44">
        <f t="shared" ref="E44:O44" si="5">E37*10</f>
        <v>7.8851174934725847</v>
      </c>
      <c r="F44">
        <f t="shared" si="5"/>
        <v>6.4751958224543067</v>
      </c>
      <c r="G44">
        <f t="shared" si="5"/>
        <v>451.85378590078329</v>
      </c>
      <c r="H44">
        <f t="shared" si="5"/>
        <v>416.86684073107051</v>
      </c>
      <c r="I44">
        <f t="shared" si="5"/>
        <v>411.74934725848567</v>
      </c>
      <c r="J44">
        <f t="shared" si="5"/>
        <v>333.47258485639691</v>
      </c>
      <c r="K44">
        <f t="shared" si="5"/>
        <v>320.26109660574411</v>
      </c>
      <c r="L44">
        <f t="shared" si="5"/>
        <v>306.16187989556136</v>
      </c>
      <c r="M44">
        <f t="shared" si="5"/>
        <v>474.30809399477812</v>
      </c>
      <c r="N44">
        <f t="shared" si="5"/>
        <v>486.84073107049608</v>
      </c>
      <c r="O44">
        <f t="shared" si="5"/>
        <v>493.10704960835506</v>
      </c>
    </row>
    <row r="46" spans="2:15">
      <c r="B46" s="1" t="s">
        <v>385</v>
      </c>
      <c r="D46">
        <f>AVERAGE(D44:F44)</f>
        <v>8.2332463011314179</v>
      </c>
      <c r="G46">
        <f t="shared" ref="G46:M46" si="6">AVERAGE(G44:I44)</f>
        <v>426.82332463011312</v>
      </c>
      <c r="J46">
        <f t="shared" si="6"/>
        <v>319.96518711923414</v>
      </c>
      <c r="M46">
        <f t="shared" si="6"/>
        <v>484.7519582245431</v>
      </c>
    </row>
    <row r="49" spans="1:15" ht="18.75">
      <c r="A49" s="1" t="s">
        <v>483</v>
      </c>
      <c r="B49" s="1"/>
      <c r="C49" s="1"/>
      <c r="D49" s="183"/>
      <c r="E49" s="183"/>
      <c r="F49" s="183"/>
      <c r="G49" s="183"/>
      <c r="H49" s="183"/>
      <c r="I49" s="183"/>
      <c r="J49" s="183"/>
      <c r="K49" s="183"/>
      <c r="L49" s="183"/>
      <c r="M49" s="183"/>
      <c r="N49" s="183"/>
      <c r="O49" s="183"/>
    </row>
    <row r="50" spans="1:15" ht="18.75">
      <c r="A50" s="1"/>
      <c r="B50" s="1"/>
      <c r="C50" s="1"/>
      <c r="D50" s="183" t="s">
        <v>174</v>
      </c>
      <c r="E50" s="183"/>
      <c r="F50" s="183"/>
      <c r="G50" s="183" t="s">
        <v>175</v>
      </c>
      <c r="H50" s="183"/>
      <c r="I50" s="183"/>
      <c r="J50" s="183" t="s">
        <v>176</v>
      </c>
      <c r="K50" s="183"/>
      <c r="L50" s="183"/>
      <c r="M50" s="183" t="s">
        <v>177</v>
      </c>
      <c r="N50" s="183"/>
      <c r="O50" s="183"/>
    </row>
    <row r="51" spans="1:15">
      <c r="C51" s="1" t="s">
        <v>586</v>
      </c>
      <c r="D51">
        <v>9.8299999999999998E-2</v>
      </c>
      <c r="E51">
        <v>5.8299999999999998E-2</v>
      </c>
      <c r="F51">
        <v>7.7399999999999997E-2</v>
      </c>
      <c r="G51">
        <v>4.8300000000000003E-2</v>
      </c>
      <c r="H51">
        <v>5.4199999999999998E-2</v>
      </c>
      <c r="I51">
        <v>9.4E-2</v>
      </c>
      <c r="J51">
        <v>0.318</v>
      </c>
      <c r="K51">
        <v>0.32100000000000001</v>
      </c>
      <c r="L51">
        <v>0.39500000000000002</v>
      </c>
      <c r="M51">
        <v>8.7999999999999995E-2</v>
      </c>
      <c r="N51">
        <v>2.8000000000000001E-2</v>
      </c>
      <c r="O51">
        <v>3.32E-2</v>
      </c>
    </row>
    <row r="52" spans="1:15">
      <c r="C52" s="1"/>
    </row>
    <row r="56" spans="1:15">
      <c r="B56" s="1" t="s">
        <v>578</v>
      </c>
      <c r="C56" s="1"/>
      <c r="D56">
        <f>D51-0.0287</f>
        <v>6.9599999999999995E-2</v>
      </c>
      <c r="E56">
        <f t="shared" ref="E56:O56" si="7">E51-0.0287</f>
        <v>2.9599999999999998E-2</v>
      </c>
      <c r="F56">
        <f t="shared" si="7"/>
        <v>4.8699999999999993E-2</v>
      </c>
      <c r="G56">
        <f t="shared" si="7"/>
        <v>1.9600000000000003E-2</v>
      </c>
      <c r="H56">
        <f t="shared" si="7"/>
        <v>2.5499999999999998E-2</v>
      </c>
      <c r="I56">
        <f t="shared" si="7"/>
        <v>6.5299999999999997E-2</v>
      </c>
      <c r="J56">
        <f t="shared" si="7"/>
        <v>0.2893</v>
      </c>
      <c r="K56">
        <f t="shared" si="7"/>
        <v>0.2923</v>
      </c>
      <c r="L56">
        <f t="shared" si="7"/>
        <v>0.36630000000000001</v>
      </c>
      <c r="M56">
        <f t="shared" si="7"/>
        <v>5.9299999999999992E-2</v>
      </c>
      <c r="N56">
        <f t="shared" si="7"/>
        <v>-6.9999999999999923E-4</v>
      </c>
      <c r="O56">
        <f t="shared" si="7"/>
        <v>4.5000000000000005E-3</v>
      </c>
    </row>
    <row r="57" spans="1:15">
      <c r="B57" s="1"/>
      <c r="C57" s="1"/>
    </row>
    <row r="58" spans="1:15">
      <c r="B58" s="1"/>
      <c r="C58" s="1"/>
    </row>
    <row r="59" spans="1:15">
      <c r="B59" s="1" t="s">
        <v>579</v>
      </c>
      <c r="C59" s="1"/>
    </row>
    <row r="60" spans="1:15">
      <c r="B60" s="1" t="s">
        <v>580</v>
      </c>
      <c r="C60" s="1"/>
      <c r="D60">
        <f>D56/0.0383</f>
        <v>1.817232375979112</v>
      </c>
      <c r="E60">
        <f t="shared" ref="E60:O60" si="8">E56/0.0383</f>
        <v>0.77284595300261094</v>
      </c>
      <c r="F60">
        <f t="shared" si="8"/>
        <v>1.2715404699738901</v>
      </c>
      <c r="G60">
        <f t="shared" si="8"/>
        <v>0.51174934725848575</v>
      </c>
      <c r="H60">
        <f t="shared" si="8"/>
        <v>0.66579634464751958</v>
      </c>
      <c r="I60">
        <f t="shared" si="8"/>
        <v>1.7049608355091384</v>
      </c>
      <c r="J60">
        <f t="shared" si="8"/>
        <v>7.5535248041775453</v>
      </c>
      <c r="K60">
        <f t="shared" si="8"/>
        <v>7.6318537859007831</v>
      </c>
      <c r="L60">
        <f t="shared" si="8"/>
        <v>9.5639686684073109</v>
      </c>
      <c r="M60">
        <f t="shared" si="8"/>
        <v>1.548302872062663</v>
      </c>
      <c r="N60">
        <f t="shared" si="8"/>
        <v>-1.8276762402088753E-2</v>
      </c>
      <c r="O60">
        <f t="shared" si="8"/>
        <v>0.11749347258485641</v>
      </c>
    </row>
    <row r="61" spans="1:15">
      <c r="B61" s="1"/>
      <c r="C61" s="1"/>
    </row>
    <row r="62" spans="1:15">
      <c r="B62" s="1"/>
      <c r="C62" s="1"/>
    </row>
    <row r="63" spans="1:15">
      <c r="B63" s="1"/>
      <c r="C63" s="1"/>
    </row>
    <row r="64" spans="1:15">
      <c r="B64" s="1" t="s">
        <v>581</v>
      </c>
      <c r="C64" s="1"/>
      <c r="D64">
        <f>200/100</f>
        <v>2</v>
      </c>
      <c r="E64">
        <f t="shared" ref="E64:O64" si="9">200/100</f>
        <v>2</v>
      </c>
      <c r="F64">
        <f t="shared" si="9"/>
        <v>2</v>
      </c>
      <c r="G64">
        <f t="shared" si="9"/>
        <v>2</v>
      </c>
      <c r="H64">
        <f t="shared" si="9"/>
        <v>2</v>
      </c>
      <c r="I64">
        <f t="shared" si="9"/>
        <v>2</v>
      </c>
      <c r="J64">
        <f t="shared" si="9"/>
        <v>2</v>
      </c>
      <c r="K64">
        <f t="shared" si="9"/>
        <v>2</v>
      </c>
      <c r="L64">
        <f t="shared" si="9"/>
        <v>2</v>
      </c>
      <c r="M64">
        <f t="shared" si="9"/>
        <v>2</v>
      </c>
      <c r="N64">
        <f t="shared" si="9"/>
        <v>2</v>
      </c>
      <c r="O64">
        <f t="shared" si="9"/>
        <v>2</v>
      </c>
    </row>
    <row r="65" spans="1:15">
      <c r="B65" s="1"/>
      <c r="C65" s="1"/>
    </row>
    <row r="66" spans="1:15">
      <c r="B66" s="1"/>
      <c r="C66" s="1"/>
    </row>
    <row r="67" spans="1:15">
      <c r="B67" s="1" t="s">
        <v>582</v>
      </c>
      <c r="C67" s="1"/>
    </row>
    <row r="68" spans="1:15">
      <c r="D68">
        <f>D60*D64</f>
        <v>3.634464751958224</v>
      </c>
      <c r="E68">
        <f t="shared" ref="E68:O68" si="10">E60*E64</f>
        <v>1.5456919060052219</v>
      </c>
      <c r="F68">
        <f t="shared" si="10"/>
        <v>2.5430809399477803</v>
      </c>
      <c r="G68">
        <f t="shared" si="10"/>
        <v>1.0234986945169715</v>
      </c>
      <c r="H68">
        <f t="shared" si="10"/>
        <v>1.3315926892950392</v>
      </c>
      <c r="I68">
        <f t="shared" si="10"/>
        <v>3.4099216710182767</v>
      </c>
      <c r="J68">
        <f t="shared" si="10"/>
        <v>15.107049608355091</v>
      </c>
      <c r="K68">
        <f t="shared" si="10"/>
        <v>15.263707571801566</v>
      </c>
      <c r="L68">
        <f t="shared" si="10"/>
        <v>19.127937336814622</v>
      </c>
      <c r="M68">
        <f t="shared" si="10"/>
        <v>3.0966057441253261</v>
      </c>
      <c r="N68">
        <f t="shared" si="10"/>
        <v>-3.6553524804177506E-2</v>
      </c>
      <c r="O68">
        <f t="shared" si="10"/>
        <v>0.23498694516971283</v>
      </c>
    </row>
    <row r="73" spans="1:15">
      <c r="B73" s="1" t="s">
        <v>583</v>
      </c>
    </row>
    <row r="75" spans="1:15">
      <c r="D75">
        <f>D68*10</f>
        <v>36.344647519582239</v>
      </c>
      <c r="E75">
        <f t="shared" ref="E75:O75" si="11">E68*10</f>
        <v>15.456919060052218</v>
      </c>
      <c r="F75">
        <f t="shared" si="11"/>
        <v>25.430809399477802</v>
      </c>
      <c r="G75">
        <f t="shared" si="11"/>
        <v>10.234986945169716</v>
      </c>
      <c r="H75">
        <f t="shared" si="11"/>
        <v>13.315926892950392</v>
      </c>
      <c r="I75">
        <f t="shared" si="11"/>
        <v>34.099216710182766</v>
      </c>
      <c r="J75">
        <f t="shared" si="11"/>
        <v>151.07049608355089</v>
      </c>
      <c r="K75">
        <f t="shared" si="11"/>
        <v>152.63707571801567</v>
      </c>
      <c r="L75">
        <f t="shared" si="11"/>
        <v>191.27937336814622</v>
      </c>
      <c r="M75">
        <f t="shared" si="11"/>
        <v>30.966057441253263</v>
      </c>
      <c r="N75">
        <f t="shared" si="11"/>
        <v>-0.36553524804177506</v>
      </c>
      <c r="O75">
        <f t="shared" si="11"/>
        <v>2.3498694516971281</v>
      </c>
    </row>
    <row r="78" spans="1:15">
      <c r="C78" s="1" t="s">
        <v>385</v>
      </c>
      <c r="D78">
        <f>AVERAGE(D75:F75)</f>
        <v>25.744125326370749</v>
      </c>
      <c r="G78">
        <f t="shared" ref="G78:M78" si="12">AVERAGE(G75:I75)</f>
        <v>19.216710182767624</v>
      </c>
      <c r="J78">
        <f t="shared" si="12"/>
        <v>164.99564838990429</v>
      </c>
      <c r="M78">
        <f t="shared" si="12"/>
        <v>10.983463881636206</v>
      </c>
    </row>
    <row r="80" spans="1:15" ht="18.75">
      <c r="A80" s="1" t="s">
        <v>484</v>
      </c>
      <c r="B80" s="1"/>
      <c r="C80" s="1"/>
      <c r="D80" s="183"/>
      <c r="E80" s="183"/>
      <c r="F80" s="183"/>
      <c r="G80" s="183"/>
      <c r="H80" s="183"/>
      <c r="I80" s="183"/>
      <c r="J80" s="183"/>
      <c r="K80" s="183"/>
      <c r="L80" s="183"/>
      <c r="M80" s="183"/>
      <c r="N80" s="183"/>
      <c r="O80" s="183"/>
    </row>
    <row r="81" spans="1:15" ht="18.75">
      <c r="A81" s="1"/>
      <c r="B81" s="1"/>
      <c r="C81" s="1"/>
      <c r="D81" s="183" t="s">
        <v>174</v>
      </c>
      <c r="E81" s="183"/>
      <c r="F81" s="183"/>
      <c r="G81" s="183" t="s">
        <v>175</v>
      </c>
      <c r="H81" s="183"/>
      <c r="I81" s="183"/>
      <c r="J81" s="183" t="s">
        <v>176</v>
      </c>
      <c r="K81" s="183"/>
      <c r="L81" s="183"/>
      <c r="M81" s="183" t="s">
        <v>177</v>
      </c>
      <c r="N81" s="183"/>
      <c r="O81" s="183"/>
    </row>
    <row r="82" spans="1:15">
      <c r="C82" s="1" t="s">
        <v>586</v>
      </c>
      <c r="D82">
        <v>8.8200000000000001E-2</v>
      </c>
      <c r="E82">
        <v>4.2200000000000001E-2</v>
      </c>
      <c r="F82">
        <v>0.10299999999999999</v>
      </c>
      <c r="G82">
        <v>0.373</v>
      </c>
      <c r="H82">
        <v>0.38500000000000001</v>
      </c>
      <c r="I82">
        <v>0.33800000000000002</v>
      </c>
      <c r="J82">
        <v>6.7400000000000002E-2</v>
      </c>
      <c r="K82">
        <v>4.3999999999999997E-2</v>
      </c>
      <c r="L82">
        <v>5.8400000000000001E-2</v>
      </c>
      <c r="M82">
        <v>0.53300000000000003</v>
      </c>
      <c r="N82">
        <v>0.58399999999999996</v>
      </c>
      <c r="O82">
        <v>0.59299999999999997</v>
      </c>
    </row>
    <row r="83" spans="1:15">
      <c r="C83" s="1"/>
    </row>
    <row r="87" spans="1:15">
      <c r="B87" s="1" t="s">
        <v>578</v>
      </c>
      <c r="C87" s="1"/>
      <c r="D87">
        <f>D82-0.0287</f>
        <v>5.9499999999999997E-2</v>
      </c>
      <c r="E87">
        <f t="shared" ref="E87:O87" si="13">E82-0.0287</f>
        <v>1.3500000000000002E-2</v>
      </c>
      <c r="F87">
        <f t="shared" si="13"/>
        <v>7.4299999999999991E-2</v>
      </c>
      <c r="G87">
        <f t="shared" si="13"/>
        <v>0.34429999999999999</v>
      </c>
      <c r="H87">
        <f t="shared" si="13"/>
        <v>0.35630000000000001</v>
      </c>
      <c r="I87">
        <f t="shared" si="13"/>
        <v>0.30930000000000002</v>
      </c>
      <c r="J87">
        <f t="shared" si="13"/>
        <v>3.8699999999999998E-2</v>
      </c>
      <c r="K87">
        <f t="shared" si="13"/>
        <v>1.5299999999999998E-2</v>
      </c>
      <c r="L87">
        <f t="shared" si="13"/>
        <v>2.9700000000000001E-2</v>
      </c>
      <c r="M87">
        <f t="shared" si="13"/>
        <v>0.50430000000000008</v>
      </c>
      <c r="N87">
        <f t="shared" si="13"/>
        <v>0.55530000000000002</v>
      </c>
      <c r="O87">
        <f t="shared" si="13"/>
        <v>0.56430000000000002</v>
      </c>
    </row>
    <row r="88" spans="1:15">
      <c r="B88" s="1"/>
      <c r="C88" s="1"/>
    </row>
    <row r="89" spans="1:15">
      <c r="B89" s="1"/>
      <c r="C89" s="1"/>
    </row>
    <row r="90" spans="1:15">
      <c r="B90" s="1" t="s">
        <v>579</v>
      </c>
      <c r="C90" s="1"/>
    </row>
    <row r="91" spans="1:15">
      <c r="B91" s="1" t="s">
        <v>580</v>
      </c>
      <c r="C91" s="1"/>
      <c r="D91">
        <f>D87/0.0383</f>
        <v>1.5535248041775456</v>
      </c>
      <c r="E91">
        <f t="shared" ref="E91:O91" si="14">E87/0.0383</f>
        <v>0.35248041775456923</v>
      </c>
      <c r="F91">
        <f t="shared" si="14"/>
        <v>1.939947780678851</v>
      </c>
      <c r="G91">
        <f t="shared" si="14"/>
        <v>8.9895561357702345</v>
      </c>
      <c r="H91">
        <f t="shared" si="14"/>
        <v>9.3028720626631856</v>
      </c>
      <c r="I91">
        <f t="shared" si="14"/>
        <v>8.0757180156657959</v>
      </c>
      <c r="J91">
        <f t="shared" si="14"/>
        <v>1.0104438642297648</v>
      </c>
      <c r="K91">
        <f t="shared" si="14"/>
        <v>0.39947780678851169</v>
      </c>
      <c r="L91">
        <f t="shared" si="14"/>
        <v>0.77545691906005221</v>
      </c>
      <c r="M91">
        <f t="shared" si="14"/>
        <v>13.167101827676243</v>
      </c>
      <c r="N91">
        <f t="shared" si="14"/>
        <v>14.498694516971279</v>
      </c>
      <c r="O91">
        <f t="shared" si="14"/>
        <v>14.733681462140993</v>
      </c>
    </row>
    <row r="92" spans="1:15">
      <c r="B92" s="1"/>
      <c r="C92" s="1"/>
    </row>
    <row r="93" spans="1:15">
      <c r="B93" s="1"/>
      <c r="C93" s="1"/>
    </row>
    <row r="94" spans="1:15">
      <c r="B94" s="1"/>
      <c r="C94" s="1"/>
    </row>
    <row r="95" spans="1:15">
      <c r="B95" s="1" t="s">
        <v>581</v>
      </c>
      <c r="C95" s="1"/>
      <c r="D95">
        <f>200/100</f>
        <v>2</v>
      </c>
      <c r="E95">
        <f t="shared" ref="E95:O95" si="15">200/100</f>
        <v>2</v>
      </c>
      <c r="F95">
        <f t="shared" si="15"/>
        <v>2</v>
      </c>
      <c r="G95">
        <f t="shared" si="15"/>
        <v>2</v>
      </c>
      <c r="H95">
        <f t="shared" si="15"/>
        <v>2</v>
      </c>
      <c r="I95">
        <f t="shared" si="15"/>
        <v>2</v>
      </c>
      <c r="J95">
        <f t="shared" si="15"/>
        <v>2</v>
      </c>
      <c r="K95">
        <f t="shared" si="15"/>
        <v>2</v>
      </c>
      <c r="L95">
        <f t="shared" si="15"/>
        <v>2</v>
      </c>
      <c r="M95">
        <f t="shared" si="15"/>
        <v>2</v>
      </c>
      <c r="N95">
        <f t="shared" si="15"/>
        <v>2</v>
      </c>
      <c r="O95">
        <f t="shared" si="15"/>
        <v>2</v>
      </c>
    </row>
    <row r="96" spans="1:15">
      <c r="B96" s="1"/>
      <c r="C96" s="1"/>
    </row>
    <row r="97" spans="1:15">
      <c r="B97" s="1"/>
      <c r="C97" s="1"/>
    </row>
    <row r="98" spans="1:15">
      <c r="B98" s="1" t="s">
        <v>582</v>
      </c>
      <c r="C98" s="1"/>
    </row>
    <row r="99" spans="1:15">
      <c r="D99">
        <f>D91*D95</f>
        <v>3.1070496083550911</v>
      </c>
      <c r="E99">
        <f t="shared" ref="E99:O99" si="16">E91*E95</f>
        <v>0.70496083550913846</v>
      </c>
      <c r="F99">
        <f t="shared" si="16"/>
        <v>3.879895561357702</v>
      </c>
      <c r="G99">
        <f t="shared" si="16"/>
        <v>17.979112271540469</v>
      </c>
      <c r="H99">
        <f t="shared" si="16"/>
        <v>18.605744125326371</v>
      </c>
      <c r="I99">
        <f t="shared" si="16"/>
        <v>16.151436031331592</v>
      </c>
      <c r="J99">
        <f t="shared" si="16"/>
        <v>2.0208877284595297</v>
      </c>
      <c r="K99">
        <f t="shared" si="16"/>
        <v>0.79895561357702338</v>
      </c>
      <c r="L99">
        <f t="shared" si="16"/>
        <v>1.5509138381201044</v>
      </c>
      <c r="M99">
        <f t="shared" si="16"/>
        <v>26.334203655352486</v>
      </c>
      <c r="N99">
        <f t="shared" si="16"/>
        <v>28.997389033942557</v>
      </c>
      <c r="O99">
        <f t="shared" si="16"/>
        <v>29.467362924281986</v>
      </c>
    </row>
    <row r="104" spans="1:15">
      <c r="B104" s="1" t="s">
        <v>583</v>
      </c>
    </row>
    <row r="106" spans="1:15">
      <c r="D106">
        <f>D99*10</f>
        <v>31.070496083550911</v>
      </c>
      <c r="E106">
        <f t="shared" ref="E106:O106" si="17">E99*10</f>
        <v>7.0496083550913848</v>
      </c>
      <c r="F106">
        <f t="shared" si="17"/>
        <v>38.798955613577021</v>
      </c>
      <c r="G106">
        <f t="shared" si="17"/>
        <v>179.7911227154047</v>
      </c>
      <c r="H106">
        <f t="shared" si="17"/>
        <v>186.0574412532637</v>
      </c>
      <c r="I106">
        <f t="shared" si="17"/>
        <v>161.51436031331593</v>
      </c>
      <c r="J106">
        <f t="shared" si="17"/>
        <v>20.208877284595296</v>
      </c>
      <c r="K106">
        <f t="shared" si="17"/>
        <v>7.9895561357702336</v>
      </c>
      <c r="L106">
        <f t="shared" si="17"/>
        <v>15.509138381201044</v>
      </c>
      <c r="M106">
        <f t="shared" si="17"/>
        <v>263.34203655352485</v>
      </c>
      <c r="N106">
        <f t="shared" si="17"/>
        <v>289.97389033942557</v>
      </c>
      <c r="O106">
        <f t="shared" si="17"/>
        <v>294.67362924281986</v>
      </c>
    </row>
    <row r="108" spans="1:15">
      <c r="C108" s="1" t="s">
        <v>385</v>
      </c>
      <c r="D108">
        <f>AVERAGE(D106:F106)</f>
        <v>25.639686684073109</v>
      </c>
      <c r="G108">
        <f t="shared" ref="G108:M108" si="18">AVERAGE(G106:I106)</f>
        <v>175.78764142732811</v>
      </c>
      <c r="J108">
        <f t="shared" si="18"/>
        <v>14.569190600522191</v>
      </c>
      <c r="M108">
        <f t="shared" si="18"/>
        <v>282.66318537859007</v>
      </c>
    </row>
    <row r="111" spans="1:15" ht="18.75">
      <c r="A111" s="1" t="s">
        <v>485</v>
      </c>
      <c r="B111" s="1"/>
      <c r="C111" s="1"/>
      <c r="D111" s="183"/>
      <c r="E111" s="183"/>
      <c r="F111" s="183"/>
      <c r="G111" s="183"/>
      <c r="H111" s="183"/>
      <c r="I111" s="183"/>
      <c r="J111" s="183"/>
      <c r="K111" s="183"/>
      <c r="L111" s="183"/>
      <c r="M111" s="183"/>
      <c r="N111" s="183"/>
      <c r="O111" s="183"/>
    </row>
    <row r="112" spans="1:15" ht="18.75">
      <c r="A112" s="1"/>
      <c r="B112" s="1"/>
      <c r="C112" s="1"/>
      <c r="D112" s="183" t="s">
        <v>174</v>
      </c>
      <c r="E112" s="183"/>
      <c r="F112" s="183"/>
      <c r="G112" s="183" t="s">
        <v>175</v>
      </c>
      <c r="H112" s="183"/>
      <c r="I112" s="183"/>
      <c r="J112" s="183" t="s">
        <v>176</v>
      </c>
      <c r="K112" s="183"/>
      <c r="L112" s="183"/>
      <c r="M112" s="183" t="s">
        <v>177</v>
      </c>
      <c r="N112" s="183"/>
      <c r="O112" s="183"/>
    </row>
    <row r="113" spans="2:15">
      <c r="C113" s="1" t="s">
        <v>586</v>
      </c>
      <c r="D113">
        <v>6.1699999999999998E-2</v>
      </c>
      <c r="E113">
        <v>8.8300000000000003E-2</v>
      </c>
      <c r="F113">
        <v>9.3399999999999997E-2</v>
      </c>
      <c r="G113">
        <v>3.32E-2</v>
      </c>
      <c r="H113">
        <v>8.3199999999999996E-2</v>
      </c>
      <c r="I113">
        <v>8.4699999999999998E-2</v>
      </c>
      <c r="J113">
        <v>0.23200000000000001</v>
      </c>
      <c r="K113">
        <v>0.29399999999999998</v>
      </c>
      <c r="L113">
        <v>0.222</v>
      </c>
      <c r="M113">
        <v>0.33900000000000002</v>
      </c>
      <c r="N113">
        <v>0.34300000000000003</v>
      </c>
      <c r="O113">
        <v>0.34699999999999998</v>
      </c>
    </row>
    <row r="114" spans="2:15">
      <c r="C114" s="1"/>
    </row>
    <row r="118" spans="2:15">
      <c r="B118" s="1" t="s">
        <v>578</v>
      </c>
      <c r="C118" s="1"/>
      <c r="D118">
        <f>D113-0.0287</f>
        <v>3.3000000000000002E-2</v>
      </c>
      <c r="E118">
        <f t="shared" ref="E118:O118" si="19">E113-0.0287</f>
        <v>5.96E-2</v>
      </c>
      <c r="F118">
        <f t="shared" si="19"/>
        <v>6.4699999999999994E-2</v>
      </c>
      <c r="G118">
        <f t="shared" si="19"/>
        <v>4.5000000000000005E-3</v>
      </c>
      <c r="H118">
        <f t="shared" si="19"/>
        <v>5.4499999999999993E-2</v>
      </c>
      <c r="I118">
        <f t="shared" si="19"/>
        <v>5.5999999999999994E-2</v>
      </c>
      <c r="J118">
        <f t="shared" si="19"/>
        <v>0.20330000000000001</v>
      </c>
      <c r="K118">
        <f t="shared" si="19"/>
        <v>0.26529999999999998</v>
      </c>
      <c r="L118">
        <f t="shared" si="19"/>
        <v>0.1933</v>
      </c>
      <c r="M118">
        <f t="shared" si="19"/>
        <v>0.31030000000000002</v>
      </c>
      <c r="N118">
        <f t="shared" si="19"/>
        <v>0.31430000000000002</v>
      </c>
      <c r="O118">
        <f t="shared" si="19"/>
        <v>0.31829999999999997</v>
      </c>
    </row>
    <row r="119" spans="2:15">
      <c r="B119" s="1"/>
      <c r="C119" s="1"/>
    </row>
    <row r="120" spans="2:15">
      <c r="B120" s="1"/>
      <c r="C120" s="1"/>
    </row>
    <row r="121" spans="2:15">
      <c r="B121" s="1" t="s">
        <v>579</v>
      </c>
      <c r="C121" s="1"/>
    </row>
    <row r="122" spans="2:15">
      <c r="B122" s="1" t="s">
        <v>580</v>
      </c>
      <c r="C122" s="1"/>
      <c r="D122">
        <f>D118/0.0383</f>
        <v>0.86161879895561355</v>
      </c>
      <c r="E122">
        <f t="shared" ref="E122:O122" si="20">E118/0.0383</f>
        <v>1.5561357702349869</v>
      </c>
      <c r="F122">
        <f t="shared" si="20"/>
        <v>1.6892950391644908</v>
      </c>
      <c r="G122">
        <f t="shared" si="20"/>
        <v>0.11749347258485641</v>
      </c>
      <c r="H122">
        <f t="shared" si="20"/>
        <v>1.4229765013054829</v>
      </c>
      <c r="I122">
        <f t="shared" si="20"/>
        <v>1.4621409921671016</v>
      </c>
      <c r="J122">
        <f t="shared" si="20"/>
        <v>5.3080939947780683</v>
      </c>
      <c r="K122">
        <f t="shared" si="20"/>
        <v>6.9268929503916441</v>
      </c>
      <c r="L122">
        <f t="shared" si="20"/>
        <v>5.0469973890339421</v>
      </c>
      <c r="M122">
        <f t="shared" si="20"/>
        <v>8.1018276762402088</v>
      </c>
      <c r="N122">
        <f t="shared" si="20"/>
        <v>8.2062663185378586</v>
      </c>
      <c r="O122">
        <f t="shared" si="20"/>
        <v>8.3107049608355084</v>
      </c>
    </row>
    <row r="123" spans="2:15">
      <c r="B123" s="1"/>
      <c r="C123" s="1"/>
    </row>
    <row r="124" spans="2:15">
      <c r="B124" s="1"/>
      <c r="C124" s="1"/>
    </row>
    <row r="125" spans="2:15">
      <c r="B125" s="1"/>
      <c r="C125" s="1"/>
    </row>
    <row r="126" spans="2:15">
      <c r="B126" s="1" t="s">
        <v>581</v>
      </c>
      <c r="C126" s="1"/>
      <c r="D126">
        <f>200/100</f>
        <v>2</v>
      </c>
      <c r="E126">
        <f t="shared" ref="E126:O126" si="21">200/100</f>
        <v>2</v>
      </c>
      <c r="F126">
        <f t="shared" si="21"/>
        <v>2</v>
      </c>
      <c r="G126">
        <f t="shared" si="21"/>
        <v>2</v>
      </c>
      <c r="H126">
        <f t="shared" si="21"/>
        <v>2</v>
      </c>
      <c r="I126">
        <f t="shared" si="21"/>
        <v>2</v>
      </c>
      <c r="J126">
        <f t="shared" si="21"/>
        <v>2</v>
      </c>
      <c r="K126">
        <f t="shared" si="21"/>
        <v>2</v>
      </c>
      <c r="L126">
        <f t="shared" si="21"/>
        <v>2</v>
      </c>
      <c r="M126">
        <f t="shared" si="21"/>
        <v>2</v>
      </c>
      <c r="N126">
        <f t="shared" si="21"/>
        <v>2</v>
      </c>
      <c r="O126">
        <f t="shared" si="21"/>
        <v>2</v>
      </c>
    </row>
    <row r="127" spans="2:15">
      <c r="B127" s="1"/>
      <c r="C127" s="1"/>
    </row>
    <row r="128" spans="2:15">
      <c r="B128" s="1"/>
      <c r="C128" s="1"/>
    </row>
    <row r="129" spans="1:15">
      <c r="B129" s="1" t="s">
        <v>582</v>
      </c>
      <c r="C129" s="1"/>
    </row>
    <row r="130" spans="1:15">
      <c r="D130">
        <f>D122*D126</f>
        <v>1.7232375979112271</v>
      </c>
      <c r="E130">
        <f t="shared" ref="E130:O130" si="22">E122*E126</f>
        <v>3.1122715404699739</v>
      </c>
      <c r="F130">
        <f t="shared" si="22"/>
        <v>3.3785900783289815</v>
      </c>
      <c r="G130">
        <f t="shared" si="22"/>
        <v>0.23498694516971283</v>
      </c>
      <c r="H130">
        <f t="shared" si="22"/>
        <v>2.8459530026109658</v>
      </c>
      <c r="I130">
        <f t="shared" si="22"/>
        <v>2.9242819843342032</v>
      </c>
      <c r="J130">
        <f t="shared" si="22"/>
        <v>10.616187989556137</v>
      </c>
      <c r="K130">
        <f t="shared" si="22"/>
        <v>13.853785900783288</v>
      </c>
      <c r="L130">
        <f t="shared" si="22"/>
        <v>10.093994778067884</v>
      </c>
      <c r="M130">
        <f t="shared" si="22"/>
        <v>16.203655352480418</v>
      </c>
      <c r="N130">
        <f t="shared" si="22"/>
        <v>16.412532637075717</v>
      </c>
      <c r="O130">
        <f t="shared" si="22"/>
        <v>16.621409921671017</v>
      </c>
    </row>
    <row r="135" spans="1:15">
      <c r="B135" s="1" t="s">
        <v>583</v>
      </c>
    </row>
    <row r="137" spans="1:15">
      <c r="D137">
        <f>D130*10</f>
        <v>17.23237597911227</v>
      </c>
      <c r="E137">
        <f t="shared" ref="E137:O137" si="23">E130*10</f>
        <v>31.12271540469974</v>
      </c>
      <c r="F137">
        <f t="shared" si="23"/>
        <v>33.785900783289819</v>
      </c>
      <c r="G137">
        <f t="shared" si="23"/>
        <v>2.3498694516971281</v>
      </c>
      <c r="H137">
        <f t="shared" si="23"/>
        <v>28.459530026109658</v>
      </c>
      <c r="I137">
        <f t="shared" si="23"/>
        <v>29.242819843342033</v>
      </c>
      <c r="J137">
        <f t="shared" si="23"/>
        <v>106.16187989556137</v>
      </c>
      <c r="K137">
        <f t="shared" si="23"/>
        <v>138.53785900783288</v>
      </c>
      <c r="L137">
        <f t="shared" si="23"/>
        <v>100.93994778067884</v>
      </c>
      <c r="M137">
        <f t="shared" si="23"/>
        <v>162.03655352480416</v>
      </c>
      <c r="N137">
        <f t="shared" si="23"/>
        <v>164.12532637075716</v>
      </c>
      <c r="O137">
        <f t="shared" si="23"/>
        <v>166.21409921671017</v>
      </c>
    </row>
    <row r="139" spans="1:15">
      <c r="C139" t="s">
        <v>385</v>
      </c>
      <c r="D139">
        <f>AVERAGE(D137:O137)</f>
        <v>81.684073107049599</v>
      </c>
      <c r="G139">
        <f t="shared" ref="G139:M139" si="24">AVERAGE(G137:R137)</f>
        <v>99.785320568610388</v>
      </c>
      <c r="J139">
        <f t="shared" si="24"/>
        <v>139.66927763272409</v>
      </c>
      <c r="M139">
        <f t="shared" si="24"/>
        <v>164.12532637075716</v>
      </c>
    </row>
    <row r="142" spans="1:15" ht="18.75">
      <c r="A142" s="1" t="s">
        <v>486</v>
      </c>
      <c r="B142" s="1"/>
      <c r="C142" s="1"/>
      <c r="D142" s="183"/>
      <c r="E142" s="183"/>
      <c r="F142" s="183"/>
      <c r="G142" s="183"/>
      <c r="H142" s="183"/>
      <c r="I142" s="183"/>
      <c r="J142" s="183"/>
      <c r="K142" s="183"/>
      <c r="L142" s="183"/>
      <c r="M142" s="183"/>
      <c r="N142" s="183"/>
      <c r="O142" s="183"/>
    </row>
    <row r="143" spans="1:15" ht="18.75">
      <c r="A143" s="1"/>
      <c r="B143" s="1"/>
      <c r="C143" s="1"/>
      <c r="D143" s="183" t="s">
        <v>174</v>
      </c>
      <c r="E143" s="183"/>
      <c r="F143" s="183"/>
      <c r="G143" s="183" t="s">
        <v>175</v>
      </c>
      <c r="H143" s="183"/>
      <c r="I143" s="183"/>
      <c r="J143" s="183" t="s">
        <v>176</v>
      </c>
      <c r="K143" s="183"/>
      <c r="L143" s="183"/>
      <c r="M143" s="183" t="s">
        <v>177</v>
      </c>
      <c r="N143" s="183"/>
      <c r="O143" s="183"/>
    </row>
    <row r="144" spans="1:15">
      <c r="C144" s="1" t="s">
        <v>586</v>
      </c>
      <c r="D144">
        <v>8.7999999999999995E-2</v>
      </c>
      <c r="E144">
        <v>2.18E-2</v>
      </c>
      <c r="F144">
        <v>0.11899999999999999</v>
      </c>
      <c r="G144">
        <v>7.4200000000000002E-2</v>
      </c>
      <c r="H144">
        <v>8.1199999999999994E-2</v>
      </c>
      <c r="I144">
        <v>8.8300000000000003E-2</v>
      </c>
      <c r="J144">
        <v>0.23100000000000001</v>
      </c>
      <c r="K144">
        <v>0.20899999999999999</v>
      </c>
      <c r="L144">
        <v>0.24299999999999999</v>
      </c>
      <c r="M144">
        <v>0.28389999999999999</v>
      </c>
      <c r="N144">
        <v>0.219</v>
      </c>
      <c r="O144">
        <v>0.21099999999999999</v>
      </c>
    </row>
    <row r="145" spans="2:15">
      <c r="C145" s="1" t="s">
        <v>585</v>
      </c>
    </row>
    <row r="149" spans="2:15">
      <c r="B149" s="1" t="s">
        <v>578</v>
      </c>
      <c r="C149" s="1"/>
      <c r="D149">
        <f>D144-0.0287</f>
        <v>5.9299999999999992E-2</v>
      </c>
      <c r="E149">
        <f t="shared" ref="E149:O149" si="25">E144-0.0287</f>
        <v>-6.8999999999999999E-3</v>
      </c>
      <c r="F149">
        <f t="shared" si="25"/>
        <v>9.0299999999999991E-2</v>
      </c>
      <c r="G149">
        <f t="shared" si="25"/>
        <v>4.5499999999999999E-2</v>
      </c>
      <c r="H149">
        <f t="shared" si="25"/>
        <v>5.2499999999999991E-2</v>
      </c>
      <c r="I149">
        <f t="shared" si="25"/>
        <v>5.96E-2</v>
      </c>
      <c r="J149">
        <f t="shared" si="25"/>
        <v>0.20230000000000001</v>
      </c>
      <c r="K149">
        <f t="shared" si="25"/>
        <v>0.18029999999999999</v>
      </c>
      <c r="L149">
        <f t="shared" si="25"/>
        <v>0.21429999999999999</v>
      </c>
      <c r="M149">
        <f t="shared" si="25"/>
        <v>0.25519999999999998</v>
      </c>
      <c r="N149">
        <f t="shared" si="25"/>
        <v>0.1903</v>
      </c>
      <c r="O149">
        <f t="shared" si="25"/>
        <v>0.18229999999999999</v>
      </c>
    </row>
    <row r="150" spans="2:15">
      <c r="B150" s="1"/>
      <c r="C150" s="1"/>
    </row>
    <row r="151" spans="2:15">
      <c r="B151" s="1"/>
      <c r="C151" s="1"/>
    </row>
    <row r="152" spans="2:15">
      <c r="B152" s="1" t="s">
        <v>579</v>
      </c>
      <c r="C152" s="1"/>
    </row>
    <row r="153" spans="2:15">
      <c r="B153" s="1" t="s">
        <v>580</v>
      </c>
      <c r="C153" s="1"/>
      <c r="D153">
        <f>D149/0.0383</f>
        <v>1.548302872062663</v>
      </c>
      <c r="E153">
        <f t="shared" ref="E153:O153" si="26">E149/0.0383</f>
        <v>-0.18015665796344646</v>
      </c>
      <c r="F153">
        <f t="shared" si="26"/>
        <v>2.3577023498694514</v>
      </c>
      <c r="G153">
        <f t="shared" si="26"/>
        <v>1.1879895561357703</v>
      </c>
      <c r="H153">
        <f t="shared" si="26"/>
        <v>1.3707571801566576</v>
      </c>
      <c r="I153">
        <f t="shared" si="26"/>
        <v>1.5561357702349869</v>
      </c>
      <c r="J153">
        <f t="shared" si="26"/>
        <v>5.2819843342036554</v>
      </c>
      <c r="K153">
        <f t="shared" si="26"/>
        <v>4.7075718015665791</v>
      </c>
      <c r="L153">
        <f t="shared" si="26"/>
        <v>5.5953002610966056</v>
      </c>
      <c r="M153">
        <f t="shared" si="26"/>
        <v>6.6631853785900779</v>
      </c>
      <c r="N153">
        <f t="shared" si="26"/>
        <v>4.9686684073107044</v>
      </c>
      <c r="O153">
        <f t="shared" si="26"/>
        <v>4.7597911227154039</v>
      </c>
    </row>
    <row r="154" spans="2:15">
      <c r="B154" s="1"/>
      <c r="C154" s="1"/>
    </row>
    <row r="155" spans="2:15">
      <c r="B155" s="1"/>
      <c r="C155" s="1"/>
    </row>
    <row r="156" spans="2:15">
      <c r="B156" s="1"/>
      <c r="C156" s="1"/>
    </row>
    <row r="157" spans="2:15">
      <c r="B157" s="1" t="s">
        <v>581</v>
      </c>
      <c r="C157" s="1"/>
      <c r="D157">
        <f>200/100</f>
        <v>2</v>
      </c>
      <c r="E157">
        <f t="shared" ref="E157:O157" si="27">200/100</f>
        <v>2</v>
      </c>
      <c r="F157">
        <f t="shared" si="27"/>
        <v>2</v>
      </c>
      <c r="G157">
        <f t="shared" si="27"/>
        <v>2</v>
      </c>
      <c r="H157">
        <f t="shared" si="27"/>
        <v>2</v>
      </c>
      <c r="I157">
        <f t="shared" si="27"/>
        <v>2</v>
      </c>
      <c r="J157">
        <f t="shared" si="27"/>
        <v>2</v>
      </c>
      <c r="K157">
        <f t="shared" si="27"/>
        <v>2</v>
      </c>
      <c r="L157">
        <f t="shared" si="27"/>
        <v>2</v>
      </c>
      <c r="M157">
        <f t="shared" si="27"/>
        <v>2</v>
      </c>
      <c r="N157">
        <f t="shared" si="27"/>
        <v>2</v>
      </c>
      <c r="O157">
        <f t="shared" si="27"/>
        <v>2</v>
      </c>
    </row>
    <row r="158" spans="2:15">
      <c r="B158" s="1"/>
      <c r="C158" s="1"/>
    </row>
    <row r="159" spans="2:15">
      <c r="B159" s="1"/>
      <c r="C159" s="1"/>
    </row>
    <row r="160" spans="2:15">
      <c r="B160" s="1" t="s">
        <v>582</v>
      </c>
      <c r="C160" s="1"/>
    </row>
    <row r="161" spans="2:15">
      <c r="D161">
        <f>D153*D157</f>
        <v>3.0966057441253261</v>
      </c>
      <c r="E161">
        <f t="shared" ref="E161:O161" si="28">E153*E157</f>
        <v>-0.36031331592689292</v>
      </c>
      <c r="F161">
        <f t="shared" si="28"/>
        <v>4.7154046997389027</v>
      </c>
      <c r="G161">
        <f t="shared" si="28"/>
        <v>2.3759791122715406</v>
      </c>
      <c r="H161">
        <f t="shared" si="28"/>
        <v>2.7415143603133152</v>
      </c>
      <c r="I161">
        <f t="shared" si="28"/>
        <v>3.1122715404699739</v>
      </c>
      <c r="J161">
        <f t="shared" si="28"/>
        <v>10.563968668407311</v>
      </c>
      <c r="K161">
        <f t="shared" si="28"/>
        <v>9.4151436031331581</v>
      </c>
      <c r="L161">
        <f t="shared" si="28"/>
        <v>11.190600522193211</v>
      </c>
      <c r="M161">
        <f t="shared" si="28"/>
        <v>13.326370757180156</v>
      </c>
      <c r="N161">
        <f t="shared" si="28"/>
        <v>9.9373368146214087</v>
      </c>
      <c r="O161">
        <f t="shared" si="28"/>
        <v>9.5195822454308079</v>
      </c>
    </row>
    <row r="166" spans="2:15">
      <c r="B166" s="1" t="s">
        <v>583</v>
      </c>
    </row>
    <row r="168" spans="2:15">
      <c r="D168">
        <f>D161*10</f>
        <v>30.966057441253263</v>
      </c>
      <c r="E168">
        <f t="shared" ref="E168:O168" si="29">E161*10</f>
        <v>-3.6031331592689293</v>
      </c>
      <c r="F168">
        <f t="shared" si="29"/>
        <v>47.154046997389031</v>
      </c>
      <c r="G168">
        <f t="shared" si="29"/>
        <v>23.759791122715406</v>
      </c>
      <c r="H168">
        <f t="shared" si="29"/>
        <v>27.415143603133153</v>
      </c>
      <c r="I168">
        <f t="shared" si="29"/>
        <v>31.12271540469974</v>
      </c>
      <c r="J168">
        <f t="shared" si="29"/>
        <v>105.63968668407311</v>
      </c>
      <c r="K168">
        <f t="shared" si="29"/>
        <v>94.151436031331585</v>
      </c>
      <c r="L168">
        <f t="shared" si="29"/>
        <v>111.90600522193211</v>
      </c>
      <c r="M168">
        <f t="shared" si="29"/>
        <v>133.26370757180155</v>
      </c>
      <c r="N168">
        <f t="shared" si="29"/>
        <v>99.373368146214091</v>
      </c>
      <c r="O168">
        <f t="shared" si="29"/>
        <v>95.195822454308086</v>
      </c>
    </row>
    <row r="171" spans="2:15">
      <c r="C171" t="s">
        <v>171</v>
      </c>
      <c r="D171">
        <f>AVERAGE(D168:F168)</f>
        <v>24.838990426457787</v>
      </c>
      <c r="G171">
        <f t="shared" ref="G171:M171" si="30">AVERAGE(G168:I168)</f>
        <v>27.432550043516102</v>
      </c>
      <c r="J171">
        <f t="shared" si="30"/>
        <v>103.89904264577893</v>
      </c>
      <c r="M171">
        <f t="shared" si="30"/>
        <v>109.2776327241079</v>
      </c>
    </row>
  </sheetData>
  <mergeCells count="43">
    <mergeCell ref="D143:F143"/>
    <mergeCell ref="G143:I143"/>
    <mergeCell ref="J143:L143"/>
    <mergeCell ref="M143:O143"/>
    <mergeCell ref="D112:F112"/>
    <mergeCell ref="G112:I112"/>
    <mergeCell ref="J112:L112"/>
    <mergeCell ref="M112:O112"/>
    <mergeCell ref="D142:F142"/>
    <mergeCell ref="G142:I142"/>
    <mergeCell ref="J142:L142"/>
    <mergeCell ref="M142:O142"/>
    <mergeCell ref="D81:F81"/>
    <mergeCell ref="G81:I81"/>
    <mergeCell ref="J81:L81"/>
    <mergeCell ref="M81:O81"/>
    <mergeCell ref="D111:F111"/>
    <mergeCell ref="G111:I111"/>
    <mergeCell ref="J111:L111"/>
    <mergeCell ref="M111:O111"/>
    <mergeCell ref="D50:F50"/>
    <mergeCell ref="G50:I50"/>
    <mergeCell ref="J50:L50"/>
    <mergeCell ref="M50:O50"/>
    <mergeCell ref="D80:F80"/>
    <mergeCell ref="G80:I80"/>
    <mergeCell ref="J80:L80"/>
    <mergeCell ref="M80:O80"/>
    <mergeCell ref="D49:F49"/>
    <mergeCell ref="G49:I49"/>
    <mergeCell ref="J49:L49"/>
    <mergeCell ref="M49:O49"/>
    <mergeCell ref="D19:F19"/>
    <mergeCell ref="G19:I19"/>
    <mergeCell ref="J19:L19"/>
    <mergeCell ref="M19:O19"/>
    <mergeCell ref="D18:F18"/>
    <mergeCell ref="G18:I18"/>
    <mergeCell ref="J18:L18"/>
    <mergeCell ref="M18:O18"/>
    <mergeCell ref="G17:I17"/>
    <mergeCell ref="J17:L17"/>
    <mergeCell ref="M17:O17"/>
  </mergeCells>
  <pageMargins left="0.7" right="0.7" top="0.75" bottom="0.75" header="0.3" footer="0.3"/>
  <pageSetup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1"/>
  <sheetViews>
    <sheetView topLeftCell="A151" workbookViewId="0"/>
  </sheetViews>
  <sheetFormatPr defaultRowHeight="15"/>
  <sheetData>
    <row r="1" spans="1:6">
      <c r="A1" s="1" t="s">
        <v>760</v>
      </c>
    </row>
    <row r="6" spans="1:6">
      <c r="C6" s="1" t="s">
        <v>577</v>
      </c>
      <c r="F6" s="1" t="s">
        <v>576</v>
      </c>
    </row>
    <row r="7" spans="1:6">
      <c r="C7">
        <v>0</v>
      </c>
      <c r="D7">
        <v>3.1E-2</v>
      </c>
      <c r="E7">
        <v>3.4000000000000002E-2</v>
      </c>
      <c r="F7">
        <f>AVERAGE(D7:E7)</f>
        <v>3.2500000000000001E-2</v>
      </c>
    </row>
    <row r="8" spans="1:6">
      <c r="C8">
        <v>5</v>
      </c>
      <c r="D8">
        <v>0.19</v>
      </c>
      <c r="E8">
        <v>0.188</v>
      </c>
      <c r="F8">
        <f t="shared" ref="F8:F14" si="0">AVERAGE(D8:E8)</f>
        <v>0.189</v>
      </c>
    </row>
    <row r="9" spans="1:6">
      <c r="C9">
        <v>10</v>
      </c>
      <c r="D9">
        <v>0.32400000000000001</v>
      </c>
      <c r="E9">
        <v>0.33</v>
      </c>
      <c r="F9">
        <f t="shared" si="0"/>
        <v>0.32700000000000001</v>
      </c>
    </row>
    <row r="10" spans="1:6">
      <c r="C10">
        <v>15</v>
      </c>
      <c r="D10">
        <v>0.46300000000000002</v>
      </c>
      <c r="E10">
        <v>0.47699999999999998</v>
      </c>
      <c r="F10">
        <f t="shared" si="0"/>
        <v>0.47</v>
      </c>
    </row>
    <row r="11" spans="1:6">
      <c r="C11">
        <v>20</v>
      </c>
      <c r="D11">
        <v>0.56699999999999995</v>
      </c>
      <c r="E11">
        <v>0.63100000000000001</v>
      </c>
      <c r="F11">
        <f t="shared" si="0"/>
        <v>0.59899999999999998</v>
      </c>
    </row>
    <row r="12" spans="1:6">
      <c r="C12">
        <v>25</v>
      </c>
      <c r="D12">
        <v>0.70599999999999996</v>
      </c>
      <c r="E12">
        <v>0.83</v>
      </c>
      <c r="F12">
        <f t="shared" si="0"/>
        <v>0.76800000000000002</v>
      </c>
    </row>
    <row r="13" spans="1:6">
      <c r="B13" s="1"/>
      <c r="C13">
        <v>30</v>
      </c>
      <c r="D13">
        <v>0.89600000000000002</v>
      </c>
      <c r="E13">
        <v>0.91500000000000004</v>
      </c>
      <c r="F13">
        <f t="shared" si="0"/>
        <v>0.90549999999999997</v>
      </c>
    </row>
    <row r="14" spans="1:6">
      <c r="C14">
        <v>35</v>
      </c>
      <c r="D14">
        <v>1.044</v>
      </c>
      <c r="E14">
        <v>1.0289999999999999</v>
      </c>
      <c r="F14">
        <f t="shared" si="0"/>
        <v>1.0365</v>
      </c>
    </row>
    <row r="17" spans="1:15" ht="18.75">
      <c r="A17" s="1"/>
      <c r="B17" s="1"/>
      <c r="C17" s="1" t="s">
        <v>587</v>
      </c>
      <c r="D17" s="132"/>
      <c r="E17" s="132"/>
      <c r="F17" s="132"/>
      <c r="G17" s="183"/>
      <c r="H17" s="183"/>
      <c r="I17" s="183"/>
      <c r="J17" s="183"/>
      <c r="K17" s="183"/>
      <c r="L17" s="183"/>
      <c r="M17" s="183"/>
      <c r="N17" s="183"/>
      <c r="O17" s="183"/>
    </row>
    <row r="18" spans="1:15" ht="18.75">
      <c r="A18" s="1" t="s">
        <v>307</v>
      </c>
      <c r="B18" s="1"/>
      <c r="C18" s="1"/>
      <c r="D18" s="183"/>
      <c r="E18" s="183"/>
      <c r="F18" s="183"/>
      <c r="G18" s="183"/>
      <c r="H18" s="183"/>
      <c r="I18" s="183"/>
      <c r="J18" s="183"/>
      <c r="K18" s="183"/>
      <c r="L18" s="183"/>
      <c r="M18" s="183"/>
      <c r="N18" s="183"/>
      <c r="O18" s="183"/>
    </row>
    <row r="19" spans="1:15" ht="18.75">
      <c r="A19" s="1"/>
      <c r="B19" s="1"/>
      <c r="C19" s="1"/>
      <c r="D19" s="183" t="s">
        <v>174</v>
      </c>
      <c r="E19" s="183"/>
      <c r="F19" s="183"/>
      <c r="G19" s="183" t="s">
        <v>175</v>
      </c>
      <c r="H19" s="183"/>
      <c r="I19" s="183"/>
      <c r="J19" s="183" t="s">
        <v>176</v>
      </c>
      <c r="K19" s="183"/>
      <c r="L19" s="183"/>
      <c r="M19" s="183" t="s">
        <v>177</v>
      </c>
      <c r="N19" s="183"/>
      <c r="O19" s="183"/>
    </row>
    <row r="20" spans="1:15">
      <c r="C20" s="1" t="s">
        <v>588</v>
      </c>
      <c r="D20">
        <v>5.8400000000000001E-2</v>
      </c>
      <c r="E20">
        <v>6.0999999999999999E-2</v>
      </c>
      <c r="F20">
        <v>3.7999999999999999E-2</v>
      </c>
      <c r="G20">
        <v>0.28699999999999998</v>
      </c>
      <c r="H20">
        <v>0.218</v>
      </c>
      <c r="I20">
        <v>0.218</v>
      </c>
      <c r="J20">
        <v>0.52200000000000002</v>
      </c>
      <c r="K20">
        <v>0.51800000000000002</v>
      </c>
      <c r="L20">
        <v>0.53300000000000003</v>
      </c>
      <c r="M20">
        <v>0.21099999999999999</v>
      </c>
      <c r="N20">
        <v>0.23400000000000001</v>
      </c>
      <c r="O20">
        <v>0.221</v>
      </c>
    </row>
    <row r="21" spans="1:15">
      <c r="C21" s="1"/>
    </row>
    <row r="25" spans="1:15">
      <c r="B25" s="1" t="s">
        <v>578</v>
      </c>
      <c r="C25" s="1"/>
      <c r="D25">
        <f>D20-0.0287</f>
        <v>2.9700000000000001E-2</v>
      </c>
      <c r="E25">
        <f t="shared" ref="E25:O25" si="1">E20-0.0287</f>
        <v>3.2299999999999995E-2</v>
      </c>
      <c r="F25">
        <f t="shared" si="1"/>
        <v>9.2999999999999992E-3</v>
      </c>
      <c r="G25">
        <f t="shared" si="1"/>
        <v>0.25829999999999997</v>
      </c>
      <c r="H25">
        <f t="shared" si="1"/>
        <v>0.1893</v>
      </c>
      <c r="I25">
        <f t="shared" si="1"/>
        <v>0.1893</v>
      </c>
      <c r="J25">
        <f t="shared" si="1"/>
        <v>0.49330000000000002</v>
      </c>
      <c r="K25">
        <f t="shared" si="1"/>
        <v>0.48930000000000001</v>
      </c>
      <c r="L25">
        <f t="shared" si="1"/>
        <v>0.50430000000000008</v>
      </c>
      <c r="M25">
        <f t="shared" si="1"/>
        <v>0.18229999999999999</v>
      </c>
      <c r="N25">
        <f t="shared" si="1"/>
        <v>0.20530000000000001</v>
      </c>
      <c r="O25">
        <f t="shared" si="1"/>
        <v>0.1923</v>
      </c>
    </row>
    <row r="26" spans="1:15">
      <c r="B26" s="1"/>
      <c r="C26" s="1"/>
    </row>
    <row r="27" spans="1:15">
      <c r="B27" s="1"/>
      <c r="C27" s="1"/>
    </row>
    <row r="28" spans="1:15">
      <c r="B28" s="1" t="s">
        <v>579</v>
      </c>
      <c r="C28" s="1"/>
    </row>
    <row r="29" spans="1:15">
      <c r="B29" s="1" t="s">
        <v>580</v>
      </c>
      <c r="C29" s="1"/>
      <c r="D29">
        <f>D25/0.0383</f>
        <v>0.77545691906005221</v>
      </c>
      <c r="E29">
        <f t="shared" ref="E29:O29" si="2">E25/0.0383</f>
        <v>0.84334203655352469</v>
      </c>
      <c r="F29">
        <f t="shared" si="2"/>
        <v>0.24281984334203652</v>
      </c>
      <c r="G29">
        <f t="shared" si="2"/>
        <v>6.7441253263707566</v>
      </c>
      <c r="H29">
        <f t="shared" si="2"/>
        <v>4.9425587467362924</v>
      </c>
      <c r="I29">
        <f t="shared" si="2"/>
        <v>4.9425587467362924</v>
      </c>
      <c r="J29">
        <f t="shared" si="2"/>
        <v>12.879895561357703</v>
      </c>
      <c r="K29">
        <f t="shared" si="2"/>
        <v>12.775456919060053</v>
      </c>
      <c r="L29">
        <f t="shared" si="2"/>
        <v>13.167101827676243</v>
      </c>
      <c r="M29">
        <f t="shared" si="2"/>
        <v>4.7597911227154039</v>
      </c>
      <c r="N29">
        <f t="shared" si="2"/>
        <v>5.3603133159268932</v>
      </c>
      <c r="O29">
        <f t="shared" si="2"/>
        <v>5.0208877284595301</v>
      </c>
    </row>
    <row r="30" spans="1:15">
      <c r="B30" s="1"/>
      <c r="C30" s="1"/>
    </row>
    <row r="31" spans="1:15">
      <c r="B31" s="1"/>
      <c r="C31" s="1"/>
    </row>
    <row r="32" spans="1:15">
      <c r="B32" s="1"/>
      <c r="C32" s="1"/>
    </row>
    <row r="33" spans="2:15">
      <c r="B33" s="1" t="s">
        <v>581</v>
      </c>
      <c r="C33" s="1"/>
      <c r="D33">
        <f>200/100</f>
        <v>2</v>
      </c>
      <c r="E33">
        <f t="shared" ref="E33:O33" si="3">200/100</f>
        <v>2</v>
      </c>
      <c r="F33">
        <f t="shared" si="3"/>
        <v>2</v>
      </c>
      <c r="G33">
        <f t="shared" si="3"/>
        <v>2</v>
      </c>
      <c r="H33">
        <f t="shared" si="3"/>
        <v>2</v>
      </c>
      <c r="I33">
        <f t="shared" si="3"/>
        <v>2</v>
      </c>
      <c r="J33">
        <f t="shared" si="3"/>
        <v>2</v>
      </c>
      <c r="K33">
        <f t="shared" si="3"/>
        <v>2</v>
      </c>
      <c r="L33">
        <f t="shared" si="3"/>
        <v>2</v>
      </c>
      <c r="M33">
        <f t="shared" si="3"/>
        <v>2</v>
      </c>
      <c r="N33">
        <f t="shared" si="3"/>
        <v>2</v>
      </c>
      <c r="O33">
        <f t="shared" si="3"/>
        <v>2</v>
      </c>
    </row>
    <row r="34" spans="2:15">
      <c r="B34" s="1"/>
      <c r="C34" s="1"/>
    </row>
    <row r="35" spans="2:15">
      <c r="B35" s="1"/>
      <c r="C35" s="1"/>
    </row>
    <row r="36" spans="2:15">
      <c r="B36" s="1" t="s">
        <v>582</v>
      </c>
      <c r="C36" s="1"/>
    </row>
    <row r="37" spans="2:15">
      <c r="D37">
        <f>D29*D33</f>
        <v>1.5509138381201044</v>
      </c>
      <c r="E37">
        <f t="shared" ref="E37:O37" si="4">E29*E33</f>
        <v>1.6866840731070494</v>
      </c>
      <c r="F37">
        <f t="shared" si="4"/>
        <v>0.48563968668407304</v>
      </c>
      <c r="G37">
        <f t="shared" si="4"/>
        <v>13.488250652741513</v>
      </c>
      <c r="H37">
        <f t="shared" si="4"/>
        <v>9.8851174934725847</v>
      </c>
      <c r="I37">
        <f t="shared" si="4"/>
        <v>9.8851174934725847</v>
      </c>
      <c r="J37">
        <f t="shared" si="4"/>
        <v>25.759791122715406</v>
      </c>
      <c r="K37">
        <f t="shared" si="4"/>
        <v>25.550913838120106</v>
      </c>
      <c r="L37">
        <f t="shared" si="4"/>
        <v>26.334203655352486</v>
      </c>
      <c r="M37">
        <f t="shared" si="4"/>
        <v>9.5195822454308079</v>
      </c>
      <c r="N37">
        <f t="shared" si="4"/>
        <v>10.720626631853786</v>
      </c>
      <c r="O37">
        <f t="shared" si="4"/>
        <v>10.04177545691906</v>
      </c>
    </row>
    <row r="42" spans="2:15">
      <c r="B42" s="1" t="s">
        <v>583</v>
      </c>
    </row>
    <row r="44" spans="2:15">
      <c r="D44">
        <f>D37*10</f>
        <v>15.509138381201044</v>
      </c>
      <c r="E44">
        <f t="shared" ref="E44:O44" si="5">E37*10</f>
        <v>16.866840731070493</v>
      </c>
      <c r="F44">
        <f t="shared" si="5"/>
        <v>4.85639686684073</v>
      </c>
      <c r="G44">
        <f t="shared" si="5"/>
        <v>134.88250652741513</v>
      </c>
      <c r="H44">
        <f t="shared" si="5"/>
        <v>98.851174934725847</v>
      </c>
      <c r="I44">
        <f t="shared" si="5"/>
        <v>98.851174934725847</v>
      </c>
      <c r="J44">
        <f t="shared" si="5"/>
        <v>257.59791122715404</v>
      </c>
      <c r="K44">
        <f t="shared" si="5"/>
        <v>255.50913838120107</v>
      </c>
      <c r="L44">
        <f t="shared" si="5"/>
        <v>263.34203655352485</v>
      </c>
      <c r="M44">
        <f t="shared" si="5"/>
        <v>95.195822454308086</v>
      </c>
      <c r="N44">
        <f t="shared" si="5"/>
        <v>107.20626631853787</v>
      </c>
      <c r="O44">
        <f t="shared" si="5"/>
        <v>100.41775456919061</v>
      </c>
    </row>
    <row r="46" spans="2:15">
      <c r="B46" s="1" t="s">
        <v>385</v>
      </c>
      <c r="D46">
        <f>AVERAGE(D44:F44)</f>
        <v>12.410791993037423</v>
      </c>
      <c r="G46">
        <f t="shared" ref="G46:M46" si="6">AVERAGE(G44:I44)</f>
        <v>110.8616187989556</v>
      </c>
      <c r="J46">
        <f t="shared" si="6"/>
        <v>258.81636205395995</v>
      </c>
      <c r="M46">
        <f t="shared" si="6"/>
        <v>100.93994778067885</v>
      </c>
    </row>
    <row r="49" spans="1:15" ht="18.75">
      <c r="A49" s="1" t="s">
        <v>483</v>
      </c>
      <c r="B49" s="1"/>
      <c r="C49" s="1"/>
      <c r="D49" s="183"/>
      <c r="E49" s="183"/>
      <c r="F49" s="183"/>
      <c r="G49" s="183"/>
      <c r="H49" s="183"/>
      <c r="I49" s="183"/>
      <c r="J49" s="183"/>
      <c r="K49" s="183"/>
      <c r="L49" s="183"/>
      <c r="M49" s="183"/>
      <c r="N49" s="183"/>
      <c r="O49" s="183"/>
    </row>
    <row r="50" spans="1:15" ht="18.75">
      <c r="A50" s="1"/>
      <c r="B50" s="1"/>
      <c r="C50" s="1"/>
      <c r="D50" s="183" t="s">
        <v>174</v>
      </c>
      <c r="E50" s="183"/>
      <c r="F50" s="183"/>
      <c r="G50" s="183" t="s">
        <v>175</v>
      </c>
      <c r="H50" s="183"/>
      <c r="I50" s="183"/>
      <c r="J50" s="183" t="s">
        <v>176</v>
      </c>
      <c r="K50" s="183"/>
      <c r="L50" s="183"/>
      <c r="M50" s="183" t="s">
        <v>177</v>
      </c>
      <c r="N50" s="183"/>
      <c r="O50" s="183"/>
    </row>
    <row r="51" spans="1:15">
      <c r="C51" s="1" t="s">
        <v>586</v>
      </c>
      <c r="D51">
        <v>8.4699999999999998E-2</v>
      </c>
      <c r="E51">
        <v>4.2200000000000001E-2</v>
      </c>
      <c r="F51">
        <v>2.18E-2</v>
      </c>
      <c r="G51">
        <v>0.42199999999999999</v>
      </c>
      <c r="H51">
        <v>0.498</v>
      </c>
      <c r="I51">
        <v>0.438</v>
      </c>
      <c r="J51">
        <v>0.38400000000000001</v>
      </c>
      <c r="K51">
        <v>0.33200000000000002</v>
      </c>
      <c r="L51">
        <v>0.38400000000000001</v>
      </c>
      <c r="M51">
        <v>0.38400000000000001</v>
      </c>
      <c r="N51">
        <v>0.32800000000000001</v>
      </c>
      <c r="O51">
        <v>0.38400000000000001</v>
      </c>
    </row>
    <row r="52" spans="1:15">
      <c r="C52" s="1"/>
    </row>
    <row r="56" spans="1:15">
      <c r="B56" s="1" t="s">
        <v>578</v>
      </c>
      <c r="C56" s="1"/>
      <c r="D56">
        <f>D51-0.0287</f>
        <v>5.5999999999999994E-2</v>
      </c>
      <c r="E56">
        <f t="shared" ref="E56:O56" si="7">E51-0.0287</f>
        <v>1.3500000000000002E-2</v>
      </c>
      <c r="F56">
        <f t="shared" si="7"/>
        <v>-6.8999999999999999E-3</v>
      </c>
      <c r="G56">
        <f t="shared" si="7"/>
        <v>0.39329999999999998</v>
      </c>
      <c r="H56">
        <f t="shared" si="7"/>
        <v>0.46929999999999999</v>
      </c>
      <c r="I56">
        <f t="shared" si="7"/>
        <v>0.4093</v>
      </c>
      <c r="J56">
        <f t="shared" si="7"/>
        <v>0.3553</v>
      </c>
      <c r="K56">
        <f t="shared" si="7"/>
        <v>0.30330000000000001</v>
      </c>
      <c r="L56">
        <f t="shared" si="7"/>
        <v>0.3553</v>
      </c>
      <c r="M56">
        <f t="shared" si="7"/>
        <v>0.3553</v>
      </c>
      <c r="N56">
        <f t="shared" si="7"/>
        <v>0.29930000000000001</v>
      </c>
      <c r="O56">
        <f t="shared" si="7"/>
        <v>0.3553</v>
      </c>
    </row>
    <row r="57" spans="1:15">
      <c r="B57" s="1"/>
      <c r="C57" s="1"/>
    </row>
    <row r="58" spans="1:15">
      <c r="B58" s="1"/>
      <c r="C58" s="1"/>
    </row>
    <row r="59" spans="1:15">
      <c r="B59" s="1" t="s">
        <v>579</v>
      </c>
      <c r="C59" s="1"/>
    </row>
    <row r="60" spans="1:15">
      <c r="B60" s="1" t="s">
        <v>580</v>
      </c>
      <c r="C60" s="1"/>
      <c r="D60">
        <f>D56/0.0383</f>
        <v>1.4621409921671016</v>
      </c>
      <c r="E60">
        <f t="shared" ref="E60:O60" si="8">E56/0.0383</f>
        <v>0.35248041775456923</v>
      </c>
      <c r="F60">
        <f t="shared" si="8"/>
        <v>-0.18015665796344646</v>
      </c>
      <c r="G60">
        <f t="shared" si="8"/>
        <v>10.268929503916448</v>
      </c>
      <c r="H60">
        <f t="shared" si="8"/>
        <v>12.253263707571801</v>
      </c>
      <c r="I60">
        <f t="shared" si="8"/>
        <v>10.686684073107049</v>
      </c>
      <c r="J60">
        <f t="shared" si="8"/>
        <v>9.2767624020887727</v>
      </c>
      <c r="K60">
        <f t="shared" si="8"/>
        <v>7.9190600522193213</v>
      </c>
      <c r="L60">
        <f t="shared" si="8"/>
        <v>9.2767624020887727</v>
      </c>
      <c r="M60">
        <f t="shared" si="8"/>
        <v>9.2767624020887727</v>
      </c>
      <c r="N60">
        <f t="shared" si="8"/>
        <v>7.8146214099216715</v>
      </c>
      <c r="O60">
        <f t="shared" si="8"/>
        <v>9.2767624020887727</v>
      </c>
    </row>
    <row r="61" spans="1:15">
      <c r="B61" s="1"/>
      <c r="C61" s="1"/>
    </row>
    <row r="62" spans="1:15">
      <c r="B62" s="1"/>
      <c r="C62" s="1"/>
    </row>
    <row r="63" spans="1:15">
      <c r="B63" s="1"/>
      <c r="C63" s="1"/>
    </row>
    <row r="64" spans="1:15">
      <c r="B64" s="1" t="s">
        <v>581</v>
      </c>
      <c r="C64" s="1"/>
      <c r="D64">
        <f>200/100</f>
        <v>2</v>
      </c>
      <c r="E64">
        <f t="shared" ref="E64:O64" si="9">200/100</f>
        <v>2</v>
      </c>
      <c r="F64">
        <f t="shared" si="9"/>
        <v>2</v>
      </c>
      <c r="G64">
        <f t="shared" si="9"/>
        <v>2</v>
      </c>
      <c r="H64">
        <f t="shared" si="9"/>
        <v>2</v>
      </c>
      <c r="I64">
        <f t="shared" si="9"/>
        <v>2</v>
      </c>
      <c r="J64">
        <f t="shared" si="9"/>
        <v>2</v>
      </c>
      <c r="K64">
        <f t="shared" si="9"/>
        <v>2</v>
      </c>
      <c r="L64">
        <f t="shared" si="9"/>
        <v>2</v>
      </c>
      <c r="M64">
        <f t="shared" si="9"/>
        <v>2</v>
      </c>
      <c r="N64">
        <f t="shared" si="9"/>
        <v>2</v>
      </c>
      <c r="O64">
        <f t="shared" si="9"/>
        <v>2</v>
      </c>
    </row>
    <row r="65" spans="1:15">
      <c r="B65" s="1"/>
      <c r="C65" s="1"/>
    </row>
    <row r="66" spans="1:15">
      <c r="B66" s="1"/>
      <c r="C66" s="1"/>
    </row>
    <row r="67" spans="1:15">
      <c r="B67" s="1" t="s">
        <v>582</v>
      </c>
      <c r="C67" s="1"/>
    </row>
    <row r="68" spans="1:15">
      <c r="D68">
        <f>D60*D64</f>
        <v>2.9242819843342032</v>
      </c>
      <c r="E68">
        <f t="shared" ref="E68:O68" si="10">E60*E64</f>
        <v>0.70496083550913846</v>
      </c>
      <c r="F68">
        <f t="shared" si="10"/>
        <v>-0.36031331592689292</v>
      </c>
      <c r="G68">
        <f t="shared" si="10"/>
        <v>20.537859007832896</v>
      </c>
      <c r="H68">
        <f t="shared" si="10"/>
        <v>24.506527415143601</v>
      </c>
      <c r="I68">
        <f t="shared" si="10"/>
        <v>21.373368146214098</v>
      </c>
      <c r="J68">
        <f t="shared" si="10"/>
        <v>18.553524804177545</v>
      </c>
      <c r="K68">
        <f t="shared" si="10"/>
        <v>15.838120104438643</v>
      </c>
      <c r="L68">
        <f t="shared" si="10"/>
        <v>18.553524804177545</v>
      </c>
      <c r="M68">
        <f t="shared" si="10"/>
        <v>18.553524804177545</v>
      </c>
      <c r="N68">
        <f t="shared" si="10"/>
        <v>15.629242819843343</v>
      </c>
      <c r="O68">
        <f t="shared" si="10"/>
        <v>18.553524804177545</v>
      </c>
    </row>
    <row r="73" spans="1:15">
      <c r="B73" s="1" t="s">
        <v>583</v>
      </c>
    </row>
    <row r="75" spans="1:15">
      <c r="D75">
        <f>D68*10</f>
        <v>29.242819843342033</v>
      </c>
      <c r="E75">
        <f t="shared" ref="E75:O75" si="11">E68*10</f>
        <v>7.0496083550913848</v>
      </c>
      <c r="F75">
        <f t="shared" si="11"/>
        <v>-3.6031331592689293</v>
      </c>
      <c r="G75">
        <f t="shared" si="11"/>
        <v>205.37859007832895</v>
      </c>
      <c r="H75">
        <f t="shared" si="11"/>
        <v>245.06527415143603</v>
      </c>
      <c r="I75">
        <f t="shared" si="11"/>
        <v>213.73368146214096</v>
      </c>
      <c r="J75">
        <f t="shared" si="11"/>
        <v>185.53524804177545</v>
      </c>
      <c r="K75">
        <f t="shared" si="11"/>
        <v>158.38120104438642</v>
      </c>
      <c r="L75">
        <f t="shared" si="11"/>
        <v>185.53524804177545</v>
      </c>
      <c r="M75">
        <f t="shared" si="11"/>
        <v>185.53524804177545</v>
      </c>
      <c r="N75">
        <f t="shared" si="11"/>
        <v>156.29242819843344</v>
      </c>
      <c r="O75">
        <f t="shared" si="11"/>
        <v>185.53524804177545</v>
      </c>
    </row>
    <row r="78" spans="1:15">
      <c r="C78" s="1" t="s">
        <v>385</v>
      </c>
      <c r="D78">
        <f>AVERAGE(D75:F75)</f>
        <v>10.896431679721497</v>
      </c>
      <c r="G78">
        <f t="shared" ref="G78:M78" si="12">AVERAGE(G75:I75)</f>
        <v>221.39251523063533</v>
      </c>
      <c r="J78">
        <f t="shared" si="12"/>
        <v>176.48389904264573</v>
      </c>
      <c r="M78">
        <f t="shared" si="12"/>
        <v>175.78764142732811</v>
      </c>
    </row>
    <row r="80" spans="1:15" ht="18.75">
      <c r="A80" s="1" t="s">
        <v>484</v>
      </c>
      <c r="B80" s="1"/>
      <c r="C80" s="1"/>
      <c r="D80" s="183"/>
      <c r="E80" s="183"/>
      <c r="F80" s="183"/>
      <c r="G80" s="183"/>
      <c r="H80" s="183"/>
      <c r="I80" s="183"/>
      <c r="J80" s="183"/>
      <c r="K80" s="183"/>
      <c r="L80" s="183"/>
      <c r="M80" s="183"/>
      <c r="N80" s="183"/>
      <c r="O80" s="183"/>
    </row>
    <row r="81" spans="1:15" ht="18.75">
      <c r="A81" s="1"/>
      <c r="B81" s="1"/>
      <c r="C81" s="1"/>
      <c r="D81" s="183" t="s">
        <v>174</v>
      </c>
      <c r="E81" s="183"/>
      <c r="F81" s="183"/>
      <c r="G81" s="183" t="s">
        <v>175</v>
      </c>
      <c r="H81" s="183"/>
      <c r="I81" s="183"/>
      <c r="J81" s="183" t="s">
        <v>176</v>
      </c>
      <c r="K81" s="183"/>
      <c r="L81" s="183"/>
      <c r="M81" s="183" t="s">
        <v>177</v>
      </c>
      <c r="N81" s="183"/>
      <c r="O81" s="183"/>
    </row>
    <row r="82" spans="1:15">
      <c r="C82" s="1" t="s">
        <v>586</v>
      </c>
      <c r="D82">
        <v>8.8400000000000006E-2</v>
      </c>
      <c r="E82">
        <v>3.8199999999999998E-2</v>
      </c>
      <c r="F82">
        <v>8.3000000000000004E-2</v>
      </c>
      <c r="G82">
        <v>0.28899999999999998</v>
      </c>
      <c r="H82">
        <v>0.218</v>
      </c>
      <c r="I82">
        <v>0.221</v>
      </c>
      <c r="J82">
        <v>0.41099999999999998</v>
      </c>
      <c r="K82">
        <v>0.47399999999999998</v>
      </c>
      <c r="L82">
        <v>0.48299999999999998</v>
      </c>
      <c r="M82">
        <v>0.438</v>
      </c>
      <c r="N82">
        <v>0.42799999999999999</v>
      </c>
      <c r="O82">
        <v>0.41199999999999998</v>
      </c>
    </row>
    <row r="83" spans="1:15">
      <c r="C83" s="1"/>
    </row>
    <row r="87" spans="1:15">
      <c r="B87" s="1" t="s">
        <v>578</v>
      </c>
      <c r="C87" s="1"/>
      <c r="D87">
        <f>D82-0.0287</f>
        <v>5.9700000000000003E-2</v>
      </c>
      <c r="E87">
        <f t="shared" ref="E87:O87" si="13">E82-0.0287</f>
        <v>9.499999999999998E-3</v>
      </c>
      <c r="F87">
        <f t="shared" si="13"/>
        <v>5.4300000000000001E-2</v>
      </c>
      <c r="G87">
        <f t="shared" si="13"/>
        <v>0.26029999999999998</v>
      </c>
      <c r="H87">
        <f t="shared" si="13"/>
        <v>0.1893</v>
      </c>
      <c r="I87">
        <f t="shared" si="13"/>
        <v>0.1923</v>
      </c>
      <c r="J87">
        <f t="shared" si="13"/>
        <v>0.38229999999999997</v>
      </c>
      <c r="K87">
        <f t="shared" si="13"/>
        <v>0.44529999999999997</v>
      </c>
      <c r="L87">
        <f t="shared" si="13"/>
        <v>0.45429999999999998</v>
      </c>
      <c r="M87">
        <f t="shared" si="13"/>
        <v>0.4093</v>
      </c>
      <c r="N87">
        <f t="shared" si="13"/>
        <v>0.39929999999999999</v>
      </c>
      <c r="O87">
        <f t="shared" si="13"/>
        <v>0.38329999999999997</v>
      </c>
    </row>
    <row r="88" spans="1:15">
      <c r="B88" s="1"/>
      <c r="C88" s="1"/>
    </row>
    <row r="89" spans="1:15">
      <c r="B89" s="1"/>
      <c r="C89" s="1"/>
    </row>
    <row r="90" spans="1:15">
      <c r="B90" s="1" t="s">
        <v>579</v>
      </c>
      <c r="C90" s="1"/>
    </row>
    <row r="91" spans="1:15">
      <c r="B91" s="1" t="s">
        <v>580</v>
      </c>
      <c r="C91" s="1"/>
      <c r="D91">
        <f>D87/0.0383</f>
        <v>1.5587467362924283</v>
      </c>
      <c r="E91">
        <f t="shared" ref="E91:O91" si="14">E87/0.0383</f>
        <v>0.24804177545691899</v>
      </c>
      <c r="F91">
        <f t="shared" si="14"/>
        <v>1.4177545691906006</v>
      </c>
      <c r="G91">
        <f t="shared" si="14"/>
        <v>6.7963446475195815</v>
      </c>
      <c r="H91">
        <f t="shared" si="14"/>
        <v>4.9425587467362924</v>
      </c>
      <c r="I91">
        <f t="shared" si="14"/>
        <v>5.0208877284595301</v>
      </c>
      <c r="J91">
        <f t="shared" si="14"/>
        <v>9.9817232375979099</v>
      </c>
      <c r="K91">
        <f t="shared" si="14"/>
        <v>11.6266318537859</v>
      </c>
      <c r="L91">
        <f t="shared" si="14"/>
        <v>11.861618798955613</v>
      </c>
      <c r="M91">
        <f t="shared" si="14"/>
        <v>10.686684073107049</v>
      </c>
      <c r="N91">
        <f t="shared" si="14"/>
        <v>10.425587467362924</v>
      </c>
      <c r="O91">
        <f t="shared" si="14"/>
        <v>10.007832898172323</v>
      </c>
    </row>
    <row r="92" spans="1:15">
      <c r="B92" s="1"/>
      <c r="C92" s="1"/>
    </row>
    <row r="93" spans="1:15">
      <c r="B93" s="1"/>
      <c r="C93" s="1"/>
    </row>
    <row r="94" spans="1:15">
      <c r="B94" s="1"/>
      <c r="C94" s="1"/>
    </row>
    <row r="95" spans="1:15">
      <c r="B95" s="1" t="s">
        <v>581</v>
      </c>
      <c r="C95" s="1"/>
      <c r="D95">
        <f>200/100</f>
        <v>2</v>
      </c>
      <c r="E95">
        <f t="shared" ref="E95:O95" si="15">200/100</f>
        <v>2</v>
      </c>
      <c r="F95">
        <f t="shared" si="15"/>
        <v>2</v>
      </c>
      <c r="G95">
        <f t="shared" si="15"/>
        <v>2</v>
      </c>
      <c r="H95">
        <f t="shared" si="15"/>
        <v>2</v>
      </c>
      <c r="I95">
        <f t="shared" si="15"/>
        <v>2</v>
      </c>
      <c r="J95">
        <f t="shared" si="15"/>
        <v>2</v>
      </c>
      <c r="K95">
        <f t="shared" si="15"/>
        <v>2</v>
      </c>
      <c r="L95">
        <f t="shared" si="15"/>
        <v>2</v>
      </c>
      <c r="M95">
        <f t="shared" si="15"/>
        <v>2</v>
      </c>
      <c r="N95">
        <f t="shared" si="15"/>
        <v>2</v>
      </c>
      <c r="O95">
        <f t="shared" si="15"/>
        <v>2</v>
      </c>
    </row>
    <row r="96" spans="1:15">
      <c r="B96" s="1"/>
      <c r="C96" s="1"/>
    </row>
    <row r="97" spans="1:15">
      <c r="B97" s="1"/>
      <c r="C97" s="1"/>
    </row>
    <row r="98" spans="1:15">
      <c r="B98" s="1" t="s">
        <v>582</v>
      </c>
      <c r="C98" s="1"/>
    </row>
    <row r="99" spans="1:15">
      <c r="D99">
        <f>D91*D95</f>
        <v>3.1174934725848567</v>
      </c>
      <c r="E99">
        <f t="shared" ref="E99:O99" si="16">E91*E95</f>
        <v>0.49608355091383799</v>
      </c>
      <c r="F99">
        <f t="shared" si="16"/>
        <v>2.8355091383812012</v>
      </c>
      <c r="G99">
        <f t="shared" si="16"/>
        <v>13.592689295039163</v>
      </c>
      <c r="H99">
        <f t="shared" si="16"/>
        <v>9.8851174934725847</v>
      </c>
      <c r="I99">
        <f t="shared" si="16"/>
        <v>10.04177545691906</v>
      </c>
      <c r="J99">
        <f t="shared" si="16"/>
        <v>19.96344647519582</v>
      </c>
      <c r="K99">
        <f t="shared" si="16"/>
        <v>23.253263707571801</v>
      </c>
      <c r="L99">
        <f t="shared" si="16"/>
        <v>23.723237597911226</v>
      </c>
      <c r="M99">
        <f t="shared" si="16"/>
        <v>21.373368146214098</v>
      </c>
      <c r="N99">
        <f t="shared" si="16"/>
        <v>20.851174934725847</v>
      </c>
      <c r="O99">
        <f t="shared" si="16"/>
        <v>20.015665796344646</v>
      </c>
    </row>
    <row r="104" spans="1:15">
      <c r="B104" s="1" t="s">
        <v>583</v>
      </c>
    </row>
    <row r="106" spans="1:15">
      <c r="D106">
        <f>D99*10</f>
        <v>31.174934725848566</v>
      </c>
      <c r="E106">
        <f t="shared" ref="E106:O106" si="17">E99*10</f>
        <v>4.9608355091383798</v>
      </c>
      <c r="F106">
        <f t="shared" si="17"/>
        <v>28.355091383812013</v>
      </c>
      <c r="G106">
        <f t="shared" si="17"/>
        <v>135.92689295039162</v>
      </c>
      <c r="H106">
        <f t="shared" si="17"/>
        <v>98.851174934725847</v>
      </c>
      <c r="I106">
        <f t="shared" si="17"/>
        <v>100.41775456919061</v>
      </c>
      <c r="J106">
        <f t="shared" si="17"/>
        <v>199.63446475195821</v>
      </c>
      <c r="K106">
        <f t="shared" si="17"/>
        <v>232.53263707571801</v>
      </c>
      <c r="L106">
        <f t="shared" si="17"/>
        <v>237.23237597911225</v>
      </c>
      <c r="M106">
        <f t="shared" si="17"/>
        <v>213.73368146214096</v>
      </c>
      <c r="N106">
        <f t="shared" si="17"/>
        <v>208.51174934725847</v>
      </c>
      <c r="O106">
        <f t="shared" si="17"/>
        <v>200.15665796344646</v>
      </c>
    </row>
    <row r="108" spans="1:15">
      <c r="C108" s="1" t="s">
        <v>385</v>
      </c>
      <c r="D108">
        <f>AVERAGE(D106:F106)</f>
        <v>21.496953872932988</v>
      </c>
      <c r="G108">
        <f t="shared" ref="G108:M108" si="18">AVERAGE(G106:I106)</f>
        <v>111.7319408181027</v>
      </c>
      <c r="J108">
        <f t="shared" si="18"/>
        <v>223.13315926892949</v>
      </c>
      <c r="M108">
        <f t="shared" si="18"/>
        <v>207.46736292428196</v>
      </c>
    </row>
    <row r="111" spans="1:15" ht="18.75">
      <c r="A111" s="1" t="s">
        <v>485</v>
      </c>
      <c r="B111" s="1"/>
      <c r="C111" s="1"/>
      <c r="D111" s="183"/>
      <c r="E111" s="183"/>
      <c r="F111" s="183"/>
      <c r="G111" s="183"/>
      <c r="H111" s="183"/>
      <c r="I111" s="183"/>
      <c r="J111" s="183"/>
      <c r="K111" s="183"/>
      <c r="L111" s="183"/>
      <c r="M111" s="183"/>
      <c r="N111" s="183"/>
      <c r="O111" s="183"/>
    </row>
    <row r="112" spans="1:15" ht="18.75">
      <c r="A112" s="1"/>
      <c r="B112" s="1"/>
      <c r="C112" s="1"/>
      <c r="D112" s="183" t="s">
        <v>174</v>
      </c>
      <c r="E112" s="183"/>
      <c r="F112" s="183"/>
      <c r="G112" s="183" t="s">
        <v>175</v>
      </c>
      <c r="H112" s="183"/>
      <c r="I112" s="183"/>
      <c r="J112" s="183" t="s">
        <v>176</v>
      </c>
      <c r="K112" s="183"/>
      <c r="L112" s="183"/>
      <c r="M112" s="183" t="s">
        <v>177</v>
      </c>
      <c r="N112" s="183"/>
      <c r="O112" s="183"/>
    </row>
    <row r="113" spans="2:15">
      <c r="C113" s="1" t="s">
        <v>586</v>
      </c>
      <c r="D113">
        <v>0.05</v>
      </c>
      <c r="E113">
        <v>3.32E-2</v>
      </c>
      <c r="F113">
        <v>4.2999999999999997E-2</v>
      </c>
      <c r="G113">
        <v>0.47499999999999998</v>
      </c>
      <c r="H113">
        <v>0.48199999999999998</v>
      </c>
      <c r="I113">
        <v>0.42199999999999999</v>
      </c>
      <c r="J113">
        <v>0.193</v>
      </c>
      <c r="K113">
        <v>0.124</v>
      </c>
      <c r="L113">
        <v>0.218</v>
      </c>
      <c r="M113">
        <v>0.32200000000000001</v>
      </c>
      <c r="N113">
        <v>0.38300000000000001</v>
      </c>
      <c r="O113">
        <v>0.38200000000000001</v>
      </c>
    </row>
    <row r="114" spans="2:15">
      <c r="C114" s="1"/>
    </row>
    <row r="118" spans="2:15">
      <c r="B118" s="1" t="s">
        <v>578</v>
      </c>
      <c r="C118" s="1"/>
      <c r="D118">
        <f>D113-0.0287</f>
        <v>2.1300000000000003E-2</v>
      </c>
      <c r="E118">
        <f t="shared" ref="E118:O118" si="19">E113-0.0287</f>
        <v>4.5000000000000005E-3</v>
      </c>
      <c r="F118">
        <f t="shared" si="19"/>
        <v>1.4299999999999997E-2</v>
      </c>
      <c r="G118">
        <f t="shared" si="19"/>
        <v>0.44629999999999997</v>
      </c>
      <c r="H118">
        <f t="shared" si="19"/>
        <v>0.45329999999999998</v>
      </c>
      <c r="I118">
        <f t="shared" si="19"/>
        <v>0.39329999999999998</v>
      </c>
      <c r="J118">
        <f t="shared" si="19"/>
        <v>0.1643</v>
      </c>
      <c r="K118">
        <f t="shared" si="19"/>
        <v>9.5299999999999996E-2</v>
      </c>
      <c r="L118">
        <f t="shared" si="19"/>
        <v>0.1893</v>
      </c>
      <c r="M118">
        <f t="shared" si="19"/>
        <v>0.29330000000000001</v>
      </c>
      <c r="N118">
        <f t="shared" si="19"/>
        <v>0.3543</v>
      </c>
      <c r="O118">
        <f t="shared" si="19"/>
        <v>0.3533</v>
      </c>
    </row>
    <row r="119" spans="2:15">
      <c r="B119" s="1"/>
      <c r="C119" s="1"/>
    </row>
    <row r="120" spans="2:15">
      <c r="B120" s="1"/>
      <c r="C120" s="1"/>
    </row>
    <row r="121" spans="2:15">
      <c r="B121" s="1" t="s">
        <v>579</v>
      </c>
      <c r="C121" s="1"/>
    </row>
    <row r="122" spans="2:15">
      <c r="B122" s="1" t="s">
        <v>580</v>
      </c>
      <c r="C122" s="1"/>
      <c r="D122">
        <f>D118/0.0383</f>
        <v>0.55613577023498706</v>
      </c>
      <c r="E122">
        <f t="shared" ref="E122:O122" si="20">E118/0.0383</f>
        <v>0.11749347258485641</v>
      </c>
      <c r="F122">
        <f t="shared" si="20"/>
        <v>0.37336814621409914</v>
      </c>
      <c r="G122">
        <f t="shared" si="20"/>
        <v>11.652741514360313</v>
      </c>
      <c r="H122">
        <f t="shared" si="20"/>
        <v>11.8355091383812</v>
      </c>
      <c r="I122">
        <f t="shared" si="20"/>
        <v>10.268929503916448</v>
      </c>
      <c r="J122">
        <f t="shared" si="20"/>
        <v>4.2898172323759791</v>
      </c>
      <c r="K122">
        <f t="shared" si="20"/>
        <v>2.488250652741514</v>
      </c>
      <c r="L122">
        <f t="shared" si="20"/>
        <v>4.9425587467362924</v>
      </c>
      <c r="M122">
        <f t="shared" si="20"/>
        <v>7.657963446475196</v>
      </c>
      <c r="N122">
        <f t="shared" si="20"/>
        <v>9.2506527415143598</v>
      </c>
      <c r="O122">
        <f t="shared" si="20"/>
        <v>9.2245430809399469</v>
      </c>
    </row>
    <row r="123" spans="2:15">
      <c r="B123" s="1"/>
      <c r="C123" s="1"/>
    </row>
    <row r="124" spans="2:15">
      <c r="B124" s="1"/>
      <c r="C124" s="1"/>
    </row>
    <row r="125" spans="2:15">
      <c r="B125" s="1"/>
      <c r="C125" s="1"/>
    </row>
    <row r="126" spans="2:15">
      <c r="B126" s="1" t="s">
        <v>581</v>
      </c>
      <c r="C126" s="1"/>
      <c r="D126">
        <f>200/100</f>
        <v>2</v>
      </c>
      <c r="E126">
        <f t="shared" ref="E126:O126" si="21">200/100</f>
        <v>2</v>
      </c>
      <c r="F126">
        <f t="shared" si="21"/>
        <v>2</v>
      </c>
      <c r="G126">
        <f t="shared" si="21"/>
        <v>2</v>
      </c>
      <c r="H126">
        <f t="shared" si="21"/>
        <v>2</v>
      </c>
      <c r="I126">
        <f t="shared" si="21"/>
        <v>2</v>
      </c>
      <c r="J126">
        <f t="shared" si="21"/>
        <v>2</v>
      </c>
      <c r="K126">
        <f t="shared" si="21"/>
        <v>2</v>
      </c>
      <c r="L126">
        <f t="shared" si="21"/>
        <v>2</v>
      </c>
      <c r="M126">
        <f t="shared" si="21"/>
        <v>2</v>
      </c>
      <c r="N126">
        <f t="shared" si="21"/>
        <v>2</v>
      </c>
      <c r="O126">
        <f t="shared" si="21"/>
        <v>2</v>
      </c>
    </row>
    <row r="127" spans="2:15">
      <c r="B127" s="1"/>
      <c r="C127" s="1"/>
    </row>
    <row r="128" spans="2:15">
      <c r="B128" s="1"/>
      <c r="C128" s="1"/>
    </row>
    <row r="129" spans="1:15">
      <c r="B129" s="1" t="s">
        <v>582</v>
      </c>
      <c r="C129" s="1"/>
    </row>
    <row r="130" spans="1:15">
      <c r="D130">
        <f>D122*D126</f>
        <v>1.1122715404699741</v>
      </c>
      <c r="E130">
        <f t="shared" ref="E130:O130" si="22">E122*E126</f>
        <v>0.23498694516971283</v>
      </c>
      <c r="F130">
        <f t="shared" si="22"/>
        <v>0.74673629242819828</v>
      </c>
      <c r="G130">
        <f t="shared" si="22"/>
        <v>23.305483028720626</v>
      </c>
      <c r="H130">
        <f t="shared" si="22"/>
        <v>23.6710182767624</v>
      </c>
      <c r="I130">
        <f t="shared" si="22"/>
        <v>20.537859007832896</v>
      </c>
      <c r="J130">
        <f t="shared" si="22"/>
        <v>8.5796344647519582</v>
      </c>
      <c r="K130">
        <f t="shared" si="22"/>
        <v>4.976501305483028</v>
      </c>
      <c r="L130">
        <f t="shared" si="22"/>
        <v>9.8851174934725847</v>
      </c>
      <c r="M130">
        <f t="shared" si="22"/>
        <v>15.315926892950392</v>
      </c>
      <c r="N130">
        <f t="shared" si="22"/>
        <v>18.50130548302872</v>
      </c>
      <c r="O130">
        <f t="shared" si="22"/>
        <v>18.449086161879894</v>
      </c>
    </row>
    <row r="135" spans="1:15">
      <c r="B135" s="1" t="s">
        <v>583</v>
      </c>
    </row>
    <row r="137" spans="1:15">
      <c r="D137">
        <f>D130*10</f>
        <v>11.122715404699742</v>
      </c>
      <c r="E137">
        <f t="shared" ref="E137:O137" si="23">E130*10</f>
        <v>2.3498694516971281</v>
      </c>
      <c r="F137">
        <f t="shared" si="23"/>
        <v>7.467362924281983</v>
      </c>
      <c r="G137">
        <f t="shared" si="23"/>
        <v>233.05483028720627</v>
      </c>
      <c r="H137">
        <f t="shared" si="23"/>
        <v>236.71018276762399</v>
      </c>
      <c r="I137">
        <f t="shared" si="23"/>
        <v>205.37859007832895</v>
      </c>
      <c r="J137">
        <f t="shared" si="23"/>
        <v>85.796344647519589</v>
      </c>
      <c r="K137">
        <f t="shared" si="23"/>
        <v>49.765013054830277</v>
      </c>
      <c r="L137">
        <f t="shared" si="23"/>
        <v>98.851174934725847</v>
      </c>
      <c r="M137">
        <f t="shared" si="23"/>
        <v>153.15926892950392</v>
      </c>
      <c r="N137">
        <f t="shared" si="23"/>
        <v>185.01305483028719</v>
      </c>
      <c r="O137">
        <f t="shared" si="23"/>
        <v>184.49086161879893</v>
      </c>
    </row>
    <row r="139" spans="1:15">
      <c r="C139" t="s">
        <v>385</v>
      </c>
      <c r="D139">
        <f>AVERAGE(D137:O137)</f>
        <v>121.09660574412533</v>
      </c>
      <c r="G139">
        <f t="shared" ref="G139:M139" si="24">AVERAGE(G137:R137)</f>
        <v>159.13548012764724</v>
      </c>
      <c r="J139">
        <f t="shared" si="24"/>
        <v>126.1792863359443</v>
      </c>
      <c r="M139">
        <f t="shared" si="24"/>
        <v>174.22106179286334</v>
      </c>
    </row>
    <row r="142" spans="1:15" ht="18.75">
      <c r="A142" s="1" t="s">
        <v>486</v>
      </c>
      <c r="B142" s="1"/>
      <c r="C142" s="1"/>
      <c r="D142" s="183"/>
      <c r="E142" s="183"/>
      <c r="F142" s="183"/>
      <c r="G142" s="183"/>
      <c r="H142" s="183"/>
      <c r="I142" s="183"/>
      <c r="J142" s="183"/>
      <c r="K142" s="183"/>
      <c r="L142" s="183"/>
      <c r="M142" s="183"/>
      <c r="N142" s="183"/>
      <c r="O142" s="183"/>
    </row>
    <row r="143" spans="1:15" ht="18.75">
      <c r="A143" s="1"/>
      <c r="B143" s="1"/>
      <c r="C143" s="1"/>
      <c r="D143" s="183" t="s">
        <v>174</v>
      </c>
      <c r="E143" s="183"/>
      <c r="F143" s="183"/>
      <c r="G143" s="183" t="s">
        <v>175</v>
      </c>
      <c r="H143" s="183"/>
      <c r="I143" s="183"/>
      <c r="J143" s="183" t="s">
        <v>176</v>
      </c>
      <c r="K143" s="183"/>
      <c r="L143" s="183"/>
      <c r="M143" s="183" t="s">
        <v>177</v>
      </c>
      <c r="N143" s="183"/>
      <c r="O143" s="183"/>
    </row>
    <row r="144" spans="1:15">
      <c r="C144" s="1" t="s">
        <v>586</v>
      </c>
      <c r="D144">
        <v>0.38</v>
      </c>
      <c r="E144">
        <v>0.318</v>
      </c>
      <c r="F144">
        <v>0.34100000000000003</v>
      </c>
      <c r="G144">
        <v>0.39300000000000002</v>
      </c>
      <c r="H144">
        <v>0.372</v>
      </c>
      <c r="I144">
        <v>0.38400000000000001</v>
      </c>
      <c r="J144">
        <v>0.22800000000000001</v>
      </c>
      <c r="K144">
        <v>0.27500000000000002</v>
      </c>
      <c r="L144">
        <v>0.23300000000000001</v>
      </c>
      <c r="M144">
        <v>0.53800000000000003</v>
      </c>
      <c r="N144">
        <v>0.53800000000000003</v>
      </c>
      <c r="O144">
        <v>0.57399999999999995</v>
      </c>
    </row>
    <row r="145" spans="2:15">
      <c r="C145" s="1" t="s">
        <v>585</v>
      </c>
    </row>
    <row r="149" spans="2:15">
      <c r="B149" s="1" t="s">
        <v>578</v>
      </c>
      <c r="C149" s="1"/>
      <c r="D149">
        <f>D144-0.0287</f>
        <v>0.3513</v>
      </c>
      <c r="E149">
        <f t="shared" ref="E149:O149" si="25">E144-0.0287</f>
        <v>0.2893</v>
      </c>
      <c r="F149">
        <f t="shared" si="25"/>
        <v>0.31230000000000002</v>
      </c>
      <c r="G149">
        <f t="shared" si="25"/>
        <v>0.36430000000000001</v>
      </c>
      <c r="H149">
        <f t="shared" si="25"/>
        <v>0.34329999999999999</v>
      </c>
      <c r="I149">
        <f t="shared" si="25"/>
        <v>0.3553</v>
      </c>
      <c r="J149">
        <f t="shared" si="25"/>
        <v>0.1993</v>
      </c>
      <c r="K149">
        <f t="shared" si="25"/>
        <v>0.24630000000000002</v>
      </c>
      <c r="L149">
        <f t="shared" si="25"/>
        <v>0.20430000000000001</v>
      </c>
      <c r="M149">
        <f t="shared" si="25"/>
        <v>0.50930000000000009</v>
      </c>
      <c r="N149">
        <f t="shared" si="25"/>
        <v>0.50930000000000009</v>
      </c>
      <c r="O149">
        <f t="shared" si="25"/>
        <v>0.54530000000000001</v>
      </c>
    </row>
    <row r="150" spans="2:15">
      <c r="B150" s="1"/>
      <c r="C150" s="1"/>
    </row>
    <row r="151" spans="2:15">
      <c r="B151" s="1"/>
      <c r="C151" s="1"/>
    </row>
    <row r="152" spans="2:15">
      <c r="B152" s="1" t="s">
        <v>579</v>
      </c>
      <c r="C152" s="1"/>
    </row>
    <row r="153" spans="2:15">
      <c r="B153" s="1" t="s">
        <v>580</v>
      </c>
      <c r="C153" s="1"/>
      <c r="D153">
        <f>D149/0.0383</f>
        <v>9.1723237597911229</v>
      </c>
      <c r="E153">
        <f t="shared" ref="E153:O153" si="26">E149/0.0383</f>
        <v>7.5535248041775453</v>
      </c>
      <c r="F153">
        <f t="shared" si="26"/>
        <v>8.1540469973890346</v>
      </c>
      <c r="G153">
        <f t="shared" si="26"/>
        <v>9.5117493472584851</v>
      </c>
      <c r="H153">
        <f t="shared" si="26"/>
        <v>8.9634464751958216</v>
      </c>
      <c r="I153">
        <f t="shared" si="26"/>
        <v>9.2767624020887727</v>
      </c>
      <c r="J153">
        <f t="shared" si="26"/>
        <v>5.2036553524804177</v>
      </c>
      <c r="K153">
        <f t="shared" si="26"/>
        <v>6.4308093994778073</v>
      </c>
      <c r="L153">
        <f t="shared" si="26"/>
        <v>5.3342036553524803</v>
      </c>
      <c r="M153">
        <f t="shared" si="26"/>
        <v>13.297650130548305</v>
      </c>
      <c r="N153">
        <f t="shared" si="26"/>
        <v>13.297650130548305</v>
      </c>
      <c r="O153">
        <f t="shared" si="26"/>
        <v>14.237597911227153</v>
      </c>
    </row>
    <row r="154" spans="2:15">
      <c r="B154" s="1"/>
      <c r="C154" s="1"/>
    </row>
    <row r="155" spans="2:15">
      <c r="B155" s="1"/>
      <c r="C155" s="1"/>
    </row>
    <row r="156" spans="2:15">
      <c r="B156" s="1"/>
      <c r="C156" s="1"/>
    </row>
    <row r="157" spans="2:15">
      <c r="B157" s="1" t="s">
        <v>581</v>
      </c>
      <c r="C157" s="1"/>
      <c r="D157">
        <f>200/100</f>
        <v>2</v>
      </c>
      <c r="E157">
        <f t="shared" ref="E157:O157" si="27">200/100</f>
        <v>2</v>
      </c>
      <c r="F157">
        <f t="shared" si="27"/>
        <v>2</v>
      </c>
      <c r="G157">
        <f t="shared" si="27"/>
        <v>2</v>
      </c>
      <c r="H157">
        <f t="shared" si="27"/>
        <v>2</v>
      </c>
      <c r="I157">
        <f t="shared" si="27"/>
        <v>2</v>
      </c>
      <c r="J157">
        <f t="shared" si="27"/>
        <v>2</v>
      </c>
      <c r="K157">
        <f t="shared" si="27"/>
        <v>2</v>
      </c>
      <c r="L157">
        <f t="shared" si="27"/>
        <v>2</v>
      </c>
      <c r="M157">
        <f t="shared" si="27"/>
        <v>2</v>
      </c>
      <c r="N157">
        <f t="shared" si="27"/>
        <v>2</v>
      </c>
      <c r="O157">
        <f t="shared" si="27"/>
        <v>2</v>
      </c>
    </row>
    <row r="158" spans="2:15">
      <c r="B158" s="1"/>
      <c r="C158" s="1"/>
    </row>
    <row r="159" spans="2:15">
      <c r="B159" s="1"/>
      <c r="C159" s="1"/>
    </row>
    <row r="160" spans="2:15">
      <c r="B160" s="1" t="s">
        <v>582</v>
      </c>
      <c r="C160" s="1"/>
    </row>
    <row r="161" spans="2:15">
      <c r="D161">
        <f>D153*D157</f>
        <v>18.344647519582246</v>
      </c>
      <c r="E161">
        <f t="shared" ref="E161:O161" si="28">E153*E157</f>
        <v>15.107049608355091</v>
      </c>
      <c r="F161">
        <f t="shared" si="28"/>
        <v>16.308093994778069</v>
      </c>
      <c r="G161">
        <f t="shared" si="28"/>
        <v>19.02349869451697</v>
      </c>
      <c r="H161">
        <f t="shared" si="28"/>
        <v>17.926892950391643</v>
      </c>
      <c r="I161">
        <f t="shared" si="28"/>
        <v>18.553524804177545</v>
      </c>
      <c r="J161">
        <f t="shared" si="28"/>
        <v>10.407310704960835</v>
      </c>
      <c r="K161">
        <f t="shared" si="28"/>
        <v>12.861618798955615</v>
      </c>
      <c r="L161">
        <f t="shared" si="28"/>
        <v>10.668407310704961</v>
      </c>
      <c r="M161">
        <f t="shared" si="28"/>
        <v>26.595300261096611</v>
      </c>
      <c r="N161">
        <f t="shared" si="28"/>
        <v>26.595300261096611</v>
      </c>
      <c r="O161">
        <f t="shared" si="28"/>
        <v>28.475195822454307</v>
      </c>
    </row>
    <row r="166" spans="2:15">
      <c r="B166" s="1" t="s">
        <v>583</v>
      </c>
    </row>
    <row r="168" spans="2:15">
      <c r="D168">
        <f>D161*10</f>
        <v>183.44647519582247</v>
      </c>
      <c r="E168">
        <f t="shared" ref="E168:O168" si="29">E161*10</f>
        <v>151.07049608355089</v>
      </c>
      <c r="F168">
        <f t="shared" si="29"/>
        <v>163.08093994778068</v>
      </c>
      <c r="G168">
        <f t="shared" si="29"/>
        <v>190.23498694516971</v>
      </c>
      <c r="H168">
        <f t="shared" si="29"/>
        <v>179.26892950391644</v>
      </c>
      <c r="I168">
        <f t="shared" si="29"/>
        <v>185.53524804177545</v>
      </c>
      <c r="J168">
        <f t="shared" si="29"/>
        <v>104.07310704960835</v>
      </c>
      <c r="K168">
        <f t="shared" si="29"/>
        <v>128.61618798955615</v>
      </c>
      <c r="L168">
        <f t="shared" si="29"/>
        <v>106.68407310704961</v>
      </c>
      <c r="M168">
        <f t="shared" si="29"/>
        <v>265.95300261096611</v>
      </c>
      <c r="N168">
        <f t="shared" si="29"/>
        <v>265.95300261096611</v>
      </c>
      <c r="O168">
        <f t="shared" si="29"/>
        <v>284.75195822454305</v>
      </c>
    </row>
    <row r="171" spans="2:15">
      <c r="C171" t="s">
        <v>171</v>
      </c>
      <c r="D171">
        <f>AVERAGE(D168:F168)</f>
        <v>165.86597040905136</v>
      </c>
      <c r="G171">
        <f t="shared" ref="G171:M171" si="30">AVERAGE(G168:I168)</f>
        <v>185.01305483028719</v>
      </c>
      <c r="J171">
        <f t="shared" si="30"/>
        <v>113.12445604873805</v>
      </c>
      <c r="M171">
        <f t="shared" si="30"/>
        <v>272.21932114882509</v>
      </c>
    </row>
  </sheetData>
  <mergeCells count="43">
    <mergeCell ref="G17:I17"/>
    <mergeCell ref="J17:L17"/>
    <mergeCell ref="M17:O17"/>
    <mergeCell ref="D18:F18"/>
    <mergeCell ref="G18:I18"/>
    <mergeCell ref="J18:L18"/>
    <mergeCell ref="M18:O18"/>
    <mergeCell ref="D19:F19"/>
    <mergeCell ref="G19:I19"/>
    <mergeCell ref="J19:L19"/>
    <mergeCell ref="M19:O19"/>
    <mergeCell ref="D49:F49"/>
    <mergeCell ref="G49:I49"/>
    <mergeCell ref="J49:L49"/>
    <mergeCell ref="M49:O49"/>
    <mergeCell ref="D50:F50"/>
    <mergeCell ref="G50:I50"/>
    <mergeCell ref="J50:L50"/>
    <mergeCell ref="M50:O50"/>
    <mergeCell ref="D80:F80"/>
    <mergeCell ref="G80:I80"/>
    <mergeCell ref="J80:L80"/>
    <mergeCell ref="M80:O80"/>
    <mergeCell ref="D81:F81"/>
    <mergeCell ref="G81:I81"/>
    <mergeCell ref="J81:L81"/>
    <mergeCell ref="M81:O81"/>
    <mergeCell ref="D111:F111"/>
    <mergeCell ref="G111:I111"/>
    <mergeCell ref="J111:L111"/>
    <mergeCell ref="M111:O111"/>
    <mergeCell ref="D143:F143"/>
    <mergeCell ref="G143:I143"/>
    <mergeCell ref="J143:L143"/>
    <mergeCell ref="M143:O143"/>
    <mergeCell ref="D112:F112"/>
    <mergeCell ref="G112:I112"/>
    <mergeCell ref="J112:L112"/>
    <mergeCell ref="M112:O112"/>
    <mergeCell ref="D142:F142"/>
    <mergeCell ref="G142:I142"/>
    <mergeCell ref="J142:L142"/>
    <mergeCell ref="M142:O142"/>
  </mergeCells>
  <pageMargins left="0.7" right="0.7" top="0.75" bottom="0.75" header="0.3" footer="0.3"/>
  <pageSetup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1"/>
  <sheetViews>
    <sheetView workbookViewId="0">
      <selection activeCell="B6" sqref="B6"/>
    </sheetView>
  </sheetViews>
  <sheetFormatPr defaultRowHeight="15"/>
  <sheetData>
    <row r="1" spans="1:6">
      <c r="A1" s="1" t="s">
        <v>761</v>
      </c>
    </row>
    <row r="6" spans="1:6">
      <c r="C6" s="1" t="s">
        <v>577</v>
      </c>
      <c r="F6" s="1" t="s">
        <v>576</v>
      </c>
    </row>
    <row r="7" spans="1:6">
      <c r="C7">
        <v>0</v>
      </c>
      <c r="D7">
        <v>3.1E-2</v>
      </c>
      <c r="E7">
        <v>3.4000000000000002E-2</v>
      </c>
      <c r="F7">
        <f>AVERAGE(D7:E7)</f>
        <v>3.2500000000000001E-2</v>
      </c>
    </row>
    <row r="8" spans="1:6">
      <c r="C8">
        <v>5</v>
      </c>
      <c r="D8">
        <v>0.19</v>
      </c>
      <c r="E8">
        <v>0.188</v>
      </c>
      <c r="F8">
        <f t="shared" ref="F8:F14" si="0">AVERAGE(D8:E8)</f>
        <v>0.189</v>
      </c>
    </row>
    <row r="9" spans="1:6">
      <c r="C9">
        <v>10</v>
      </c>
      <c r="D9">
        <v>0.32400000000000001</v>
      </c>
      <c r="E9">
        <v>0.33</v>
      </c>
      <c r="F9">
        <f t="shared" si="0"/>
        <v>0.32700000000000001</v>
      </c>
    </row>
    <row r="10" spans="1:6">
      <c r="C10">
        <v>15</v>
      </c>
      <c r="D10">
        <v>0.46300000000000002</v>
      </c>
      <c r="E10">
        <v>0.47699999999999998</v>
      </c>
      <c r="F10">
        <f t="shared" si="0"/>
        <v>0.47</v>
      </c>
    </row>
    <row r="11" spans="1:6">
      <c r="C11">
        <v>20</v>
      </c>
      <c r="D11">
        <v>0.56699999999999995</v>
      </c>
      <c r="E11">
        <v>0.63100000000000001</v>
      </c>
      <c r="F11">
        <f t="shared" si="0"/>
        <v>0.59899999999999998</v>
      </c>
    </row>
    <row r="12" spans="1:6">
      <c r="C12">
        <v>25</v>
      </c>
      <c r="D12">
        <v>0.70599999999999996</v>
      </c>
      <c r="E12">
        <v>0.83</v>
      </c>
      <c r="F12">
        <f t="shared" si="0"/>
        <v>0.76800000000000002</v>
      </c>
    </row>
    <row r="13" spans="1:6">
      <c r="B13" s="1"/>
      <c r="C13">
        <v>30</v>
      </c>
      <c r="D13">
        <v>0.89600000000000002</v>
      </c>
      <c r="E13">
        <v>0.91500000000000004</v>
      </c>
      <c r="F13">
        <f t="shared" si="0"/>
        <v>0.90549999999999997</v>
      </c>
    </row>
    <row r="14" spans="1:6">
      <c r="C14">
        <v>35</v>
      </c>
      <c r="D14">
        <v>1.044</v>
      </c>
      <c r="E14">
        <v>1.0289999999999999</v>
      </c>
      <c r="F14">
        <f t="shared" si="0"/>
        <v>1.0365</v>
      </c>
    </row>
    <row r="17" spans="1:15" ht="18.75">
      <c r="A17" s="1"/>
      <c r="B17" s="1"/>
      <c r="C17" s="1" t="s">
        <v>587</v>
      </c>
      <c r="D17" s="132"/>
      <c r="E17" s="132"/>
      <c r="F17" s="132"/>
      <c r="G17" s="183"/>
      <c r="H17" s="183"/>
      <c r="I17" s="183"/>
      <c r="J17" s="183"/>
      <c r="K17" s="183"/>
      <c r="L17" s="183"/>
      <c r="M17" s="183"/>
      <c r="N17" s="183"/>
      <c r="O17" s="183"/>
    </row>
    <row r="18" spans="1:15" ht="18.75">
      <c r="A18" s="1" t="s">
        <v>307</v>
      </c>
      <c r="B18" s="1"/>
      <c r="C18" s="1"/>
      <c r="D18" s="183"/>
      <c r="E18" s="183"/>
      <c r="F18" s="183"/>
      <c r="G18" s="183"/>
      <c r="H18" s="183"/>
      <c r="I18" s="183"/>
      <c r="J18" s="183"/>
      <c r="K18" s="183"/>
      <c r="L18" s="183"/>
      <c r="M18" s="183"/>
      <c r="N18" s="183"/>
      <c r="O18" s="183"/>
    </row>
    <row r="19" spans="1:15" ht="18.75">
      <c r="A19" s="1"/>
      <c r="B19" s="1"/>
      <c r="C19" s="1"/>
      <c r="D19" s="183" t="s">
        <v>174</v>
      </c>
      <c r="E19" s="183"/>
      <c r="F19" s="183"/>
      <c r="G19" s="183" t="s">
        <v>175</v>
      </c>
      <c r="H19" s="183"/>
      <c r="I19" s="183"/>
      <c r="J19" s="183" t="s">
        <v>176</v>
      </c>
      <c r="K19" s="183"/>
      <c r="L19" s="183"/>
      <c r="M19" s="183" t="s">
        <v>177</v>
      </c>
      <c r="N19" s="183"/>
      <c r="O19" s="183"/>
    </row>
    <row r="20" spans="1:15">
      <c r="C20" s="1" t="s">
        <v>588</v>
      </c>
      <c r="D20">
        <v>0.312</v>
      </c>
      <c r="E20">
        <v>0.38500000000000001</v>
      </c>
      <c r="F20">
        <v>0.35499999999999998</v>
      </c>
      <c r="G20">
        <v>0.28399999999999997</v>
      </c>
      <c r="H20">
        <v>0.28100000000000003</v>
      </c>
      <c r="I20">
        <v>0.245</v>
      </c>
      <c r="J20">
        <v>0.53300000000000003</v>
      </c>
      <c r="K20">
        <v>0.58199999999999996</v>
      </c>
      <c r="L20">
        <v>0.59199999999999997</v>
      </c>
      <c r="M20">
        <v>0.91300000000000003</v>
      </c>
      <c r="N20">
        <v>0.94399999999999995</v>
      </c>
      <c r="O20">
        <v>0.91700000000000004</v>
      </c>
    </row>
    <row r="21" spans="1:15">
      <c r="C21" s="1"/>
    </row>
    <row r="25" spans="1:15">
      <c r="B25" s="1" t="s">
        <v>578</v>
      </c>
      <c r="C25" s="1"/>
      <c r="D25">
        <f>D20-0.0287</f>
        <v>0.2833</v>
      </c>
      <c r="E25">
        <f t="shared" ref="E25:O25" si="1">E20-0.0287</f>
        <v>0.35630000000000001</v>
      </c>
      <c r="F25">
        <f t="shared" si="1"/>
        <v>0.32629999999999998</v>
      </c>
      <c r="G25">
        <f t="shared" si="1"/>
        <v>0.25529999999999997</v>
      </c>
      <c r="H25">
        <f t="shared" si="1"/>
        <v>0.25230000000000002</v>
      </c>
      <c r="I25">
        <f t="shared" si="1"/>
        <v>0.21629999999999999</v>
      </c>
      <c r="J25">
        <f t="shared" si="1"/>
        <v>0.50430000000000008</v>
      </c>
      <c r="K25">
        <f t="shared" si="1"/>
        <v>0.55330000000000001</v>
      </c>
      <c r="L25">
        <f t="shared" si="1"/>
        <v>0.56330000000000002</v>
      </c>
      <c r="M25">
        <f t="shared" si="1"/>
        <v>0.88430000000000009</v>
      </c>
      <c r="N25">
        <f t="shared" si="1"/>
        <v>0.9153</v>
      </c>
      <c r="O25">
        <f t="shared" si="1"/>
        <v>0.88830000000000009</v>
      </c>
    </row>
    <row r="26" spans="1:15">
      <c r="B26" s="1"/>
      <c r="C26" s="1"/>
    </row>
    <row r="27" spans="1:15">
      <c r="B27" s="1"/>
      <c r="C27" s="1"/>
    </row>
    <row r="28" spans="1:15">
      <c r="B28" s="1" t="s">
        <v>579</v>
      </c>
      <c r="C28" s="1"/>
    </row>
    <row r="29" spans="1:15">
      <c r="B29" s="1" t="s">
        <v>580</v>
      </c>
      <c r="C29" s="1"/>
      <c r="D29">
        <f>D25/0.0383</f>
        <v>7.3968668407310707</v>
      </c>
      <c r="E29">
        <f t="shared" ref="E29:O29" si="2">E25/0.0383</f>
        <v>9.3028720626631856</v>
      </c>
      <c r="F29">
        <f t="shared" si="2"/>
        <v>8.5195822454308079</v>
      </c>
      <c r="G29">
        <f t="shared" si="2"/>
        <v>6.6657963446475188</v>
      </c>
      <c r="H29">
        <f t="shared" si="2"/>
        <v>6.5874673629242828</v>
      </c>
      <c r="I29">
        <f t="shared" si="2"/>
        <v>5.6475195822454305</v>
      </c>
      <c r="J29">
        <f t="shared" si="2"/>
        <v>13.167101827676243</v>
      </c>
      <c r="K29">
        <f t="shared" si="2"/>
        <v>14.446475195822455</v>
      </c>
      <c r="L29">
        <f t="shared" si="2"/>
        <v>14.70757180156658</v>
      </c>
      <c r="M29">
        <f t="shared" si="2"/>
        <v>23.088772845953006</v>
      </c>
      <c r="N29">
        <f t="shared" si="2"/>
        <v>23.898172323759791</v>
      </c>
      <c r="O29">
        <f t="shared" si="2"/>
        <v>23.193211488250654</v>
      </c>
    </row>
    <row r="30" spans="1:15">
      <c r="B30" s="1"/>
      <c r="C30" s="1"/>
    </row>
    <row r="31" spans="1:15">
      <c r="B31" s="1"/>
      <c r="C31" s="1"/>
    </row>
    <row r="32" spans="1:15">
      <c r="B32" s="1"/>
      <c r="C32" s="1"/>
    </row>
    <row r="33" spans="2:15">
      <c r="B33" s="1" t="s">
        <v>581</v>
      </c>
      <c r="C33" s="1"/>
      <c r="D33">
        <f>200/100</f>
        <v>2</v>
      </c>
      <c r="E33">
        <f t="shared" ref="E33:O33" si="3">200/100</f>
        <v>2</v>
      </c>
      <c r="F33">
        <f t="shared" si="3"/>
        <v>2</v>
      </c>
      <c r="G33">
        <f t="shared" si="3"/>
        <v>2</v>
      </c>
      <c r="H33">
        <f t="shared" si="3"/>
        <v>2</v>
      </c>
      <c r="I33">
        <f t="shared" si="3"/>
        <v>2</v>
      </c>
      <c r="J33">
        <f t="shared" si="3"/>
        <v>2</v>
      </c>
      <c r="K33">
        <f t="shared" si="3"/>
        <v>2</v>
      </c>
      <c r="L33">
        <f t="shared" si="3"/>
        <v>2</v>
      </c>
      <c r="M33">
        <f t="shared" si="3"/>
        <v>2</v>
      </c>
      <c r="N33">
        <f t="shared" si="3"/>
        <v>2</v>
      </c>
      <c r="O33">
        <f t="shared" si="3"/>
        <v>2</v>
      </c>
    </row>
    <row r="34" spans="2:15">
      <c r="B34" s="1"/>
      <c r="C34" s="1"/>
    </row>
    <row r="35" spans="2:15">
      <c r="B35" s="1"/>
      <c r="C35" s="1"/>
    </row>
    <row r="36" spans="2:15">
      <c r="B36" s="1" t="s">
        <v>582</v>
      </c>
      <c r="C36" s="1"/>
    </row>
    <row r="37" spans="2:15">
      <c r="D37">
        <f>D29*D33</f>
        <v>14.793733681462141</v>
      </c>
      <c r="E37">
        <f t="shared" ref="E37:O37" si="4">E29*E33</f>
        <v>18.605744125326371</v>
      </c>
      <c r="F37">
        <f t="shared" si="4"/>
        <v>17.039164490861616</v>
      </c>
      <c r="G37">
        <f t="shared" si="4"/>
        <v>13.331592689295038</v>
      </c>
      <c r="H37">
        <f t="shared" si="4"/>
        <v>13.174934725848566</v>
      </c>
      <c r="I37">
        <f t="shared" si="4"/>
        <v>11.295039164490861</v>
      </c>
      <c r="J37">
        <f t="shared" si="4"/>
        <v>26.334203655352486</v>
      </c>
      <c r="K37">
        <f t="shared" si="4"/>
        <v>28.892950391644909</v>
      </c>
      <c r="L37">
        <f t="shared" si="4"/>
        <v>29.41514360313316</v>
      </c>
      <c r="M37">
        <f t="shared" si="4"/>
        <v>46.177545691906012</v>
      </c>
      <c r="N37">
        <f t="shared" si="4"/>
        <v>47.796344647519582</v>
      </c>
      <c r="O37">
        <f t="shared" si="4"/>
        <v>46.386422976501308</v>
      </c>
    </row>
    <row r="42" spans="2:15">
      <c r="B42" s="1" t="s">
        <v>583</v>
      </c>
    </row>
    <row r="44" spans="2:15">
      <c r="D44">
        <f>D37*10</f>
        <v>147.9373368146214</v>
      </c>
      <c r="E44">
        <f t="shared" ref="E44:O44" si="5">E37*10</f>
        <v>186.0574412532637</v>
      </c>
      <c r="F44">
        <f t="shared" si="5"/>
        <v>170.39164490861617</v>
      </c>
      <c r="G44">
        <f t="shared" si="5"/>
        <v>133.31592689295039</v>
      </c>
      <c r="H44">
        <f t="shared" si="5"/>
        <v>131.74934725848567</v>
      </c>
      <c r="I44">
        <f t="shared" si="5"/>
        <v>112.95039164490861</v>
      </c>
      <c r="J44">
        <f t="shared" si="5"/>
        <v>263.34203655352485</v>
      </c>
      <c r="K44">
        <f t="shared" si="5"/>
        <v>288.92950391644911</v>
      </c>
      <c r="L44">
        <f t="shared" si="5"/>
        <v>294.15143603133163</v>
      </c>
      <c r="M44">
        <f t="shared" si="5"/>
        <v>461.7754569190601</v>
      </c>
      <c r="N44">
        <f t="shared" si="5"/>
        <v>477.96344647519584</v>
      </c>
      <c r="O44">
        <f t="shared" si="5"/>
        <v>463.86422976501308</v>
      </c>
    </row>
    <row r="46" spans="2:15">
      <c r="B46" s="1" t="s">
        <v>385</v>
      </c>
      <c r="D46">
        <f>AVERAGE(D44:F44)</f>
        <v>168.12880765883378</v>
      </c>
      <c r="G46">
        <f t="shared" ref="G46:M46" si="6">AVERAGE(G44:I44)</f>
        <v>126.00522193211488</v>
      </c>
      <c r="J46">
        <f t="shared" si="6"/>
        <v>282.14099216710184</v>
      </c>
      <c r="M46">
        <f t="shared" si="6"/>
        <v>467.86771105308964</v>
      </c>
    </row>
    <row r="49" spans="1:15" ht="18.75">
      <c r="A49" s="1" t="s">
        <v>483</v>
      </c>
      <c r="B49" s="1"/>
      <c r="C49" s="1"/>
      <c r="D49" s="183"/>
      <c r="E49" s="183"/>
      <c r="F49" s="183"/>
      <c r="G49" s="183"/>
      <c r="H49" s="183"/>
      <c r="I49" s="183"/>
      <c r="J49" s="183"/>
      <c r="K49" s="183"/>
      <c r="L49" s="183"/>
      <c r="M49" s="183"/>
      <c r="N49" s="183"/>
      <c r="O49" s="183"/>
    </row>
    <row r="50" spans="1:15" ht="18.75">
      <c r="A50" s="1"/>
      <c r="B50" s="1"/>
      <c r="C50" s="1"/>
      <c r="D50" s="183" t="s">
        <v>174</v>
      </c>
      <c r="E50" s="183"/>
      <c r="F50" s="183"/>
      <c r="G50" s="183" t="s">
        <v>175</v>
      </c>
      <c r="H50" s="183"/>
      <c r="I50" s="183"/>
      <c r="J50" s="183" t="s">
        <v>176</v>
      </c>
      <c r="K50" s="183"/>
      <c r="L50" s="183"/>
      <c r="M50" s="183" t="s">
        <v>177</v>
      </c>
      <c r="N50" s="183"/>
      <c r="O50" s="183"/>
    </row>
    <row r="51" spans="1:15">
      <c r="C51" s="1" t="s">
        <v>586</v>
      </c>
      <c r="D51">
        <v>8.4000000000000005E-2</v>
      </c>
      <c r="E51">
        <v>8.8999999999999996E-2</v>
      </c>
      <c r="F51">
        <v>9.1999999999999998E-2</v>
      </c>
      <c r="G51">
        <v>0.218</v>
      </c>
      <c r="H51">
        <v>0.24399999999999999</v>
      </c>
      <c r="I51">
        <v>0.254</v>
      </c>
      <c r="J51">
        <v>0.628</v>
      </c>
      <c r="K51">
        <v>0.621</v>
      </c>
      <c r="L51">
        <v>0.61099999999999999</v>
      </c>
      <c r="M51">
        <v>0.81599999999999995</v>
      </c>
      <c r="N51">
        <v>0.82699999999999996</v>
      </c>
      <c r="O51">
        <v>0.81100000000000005</v>
      </c>
    </row>
    <row r="52" spans="1:15">
      <c r="C52" s="1"/>
    </row>
    <row r="56" spans="1:15">
      <c r="B56" s="1" t="s">
        <v>578</v>
      </c>
      <c r="C56" s="1"/>
      <c r="D56">
        <f>D51-0.0287</f>
        <v>5.5300000000000002E-2</v>
      </c>
      <c r="E56">
        <f t="shared" ref="E56:O56" si="7">E51-0.0287</f>
        <v>6.0299999999999992E-2</v>
      </c>
      <c r="F56">
        <f t="shared" si="7"/>
        <v>6.3299999999999995E-2</v>
      </c>
      <c r="G56">
        <f t="shared" si="7"/>
        <v>0.1893</v>
      </c>
      <c r="H56">
        <f t="shared" si="7"/>
        <v>0.21529999999999999</v>
      </c>
      <c r="I56">
        <f t="shared" si="7"/>
        <v>0.2253</v>
      </c>
      <c r="J56">
        <f t="shared" si="7"/>
        <v>0.59930000000000005</v>
      </c>
      <c r="K56">
        <f t="shared" si="7"/>
        <v>0.59230000000000005</v>
      </c>
      <c r="L56">
        <f t="shared" si="7"/>
        <v>0.58230000000000004</v>
      </c>
      <c r="M56">
        <f t="shared" si="7"/>
        <v>0.7873</v>
      </c>
      <c r="N56">
        <f t="shared" si="7"/>
        <v>0.79830000000000001</v>
      </c>
      <c r="O56">
        <f t="shared" si="7"/>
        <v>0.78230000000000011</v>
      </c>
    </row>
    <row r="57" spans="1:15">
      <c r="B57" s="1"/>
      <c r="C57" s="1"/>
    </row>
    <row r="58" spans="1:15">
      <c r="B58" s="1"/>
      <c r="C58" s="1"/>
    </row>
    <row r="59" spans="1:15">
      <c r="B59" s="1" t="s">
        <v>579</v>
      </c>
      <c r="C59" s="1"/>
    </row>
    <row r="60" spans="1:15">
      <c r="B60" s="1" t="s">
        <v>580</v>
      </c>
      <c r="C60" s="1"/>
      <c r="D60">
        <f>D56/0.0383</f>
        <v>1.4438642297650131</v>
      </c>
      <c r="E60">
        <f t="shared" ref="E60:O60" si="8">E56/0.0383</f>
        <v>1.5744125326370755</v>
      </c>
      <c r="F60">
        <f t="shared" si="8"/>
        <v>1.6527415143603132</v>
      </c>
      <c r="G60">
        <f t="shared" si="8"/>
        <v>4.9425587467362924</v>
      </c>
      <c r="H60">
        <f t="shared" si="8"/>
        <v>5.6214099216710176</v>
      </c>
      <c r="I60">
        <f t="shared" si="8"/>
        <v>5.8825065274151438</v>
      </c>
      <c r="J60">
        <f t="shared" si="8"/>
        <v>15.647519582245431</v>
      </c>
      <c r="K60">
        <f t="shared" si="8"/>
        <v>15.464751958224545</v>
      </c>
      <c r="L60">
        <f t="shared" si="8"/>
        <v>15.203655352480418</v>
      </c>
      <c r="M60">
        <f t="shared" si="8"/>
        <v>20.556135770234988</v>
      </c>
      <c r="N60">
        <f t="shared" si="8"/>
        <v>20.843342036553526</v>
      </c>
      <c r="O60">
        <f t="shared" si="8"/>
        <v>20.425587467362927</v>
      </c>
    </row>
    <row r="61" spans="1:15">
      <c r="B61" s="1"/>
      <c r="C61" s="1"/>
    </row>
    <row r="62" spans="1:15">
      <c r="B62" s="1"/>
      <c r="C62" s="1"/>
    </row>
    <row r="63" spans="1:15">
      <c r="B63" s="1"/>
      <c r="C63" s="1"/>
    </row>
    <row r="64" spans="1:15">
      <c r="B64" s="1" t="s">
        <v>581</v>
      </c>
      <c r="C64" s="1"/>
      <c r="D64">
        <f>200/100</f>
        <v>2</v>
      </c>
      <c r="E64">
        <f t="shared" ref="E64:O64" si="9">200/100</f>
        <v>2</v>
      </c>
      <c r="F64">
        <f t="shared" si="9"/>
        <v>2</v>
      </c>
      <c r="G64">
        <f t="shared" si="9"/>
        <v>2</v>
      </c>
      <c r="H64">
        <f t="shared" si="9"/>
        <v>2</v>
      </c>
      <c r="I64">
        <f t="shared" si="9"/>
        <v>2</v>
      </c>
      <c r="J64">
        <f t="shared" si="9"/>
        <v>2</v>
      </c>
      <c r="K64">
        <f t="shared" si="9"/>
        <v>2</v>
      </c>
      <c r="L64">
        <f t="shared" si="9"/>
        <v>2</v>
      </c>
      <c r="M64">
        <f t="shared" si="9"/>
        <v>2</v>
      </c>
      <c r="N64">
        <f t="shared" si="9"/>
        <v>2</v>
      </c>
      <c r="O64">
        <f t="shared" si="9"/>
        <v>2</v>
      </c>
    </row>
    <row r="65" spans="1:15">
      <c r="B65" s="1"/>
      <c r="C65" s="1"/>
    </row>
    <row r="66" spans="1:15">
      <c r="B66" s="1"/>
      <c r="C66" s="1"/>
    </row>
    <row r="67" spans="1:15">
      <c r="B67" s="1" t="s">
        <v>582</v>
      </c>
      <c r="C67" s="1"/>
    </row>
    <row r="68" spans="1:15">
      <c r="D68">
        <f>D60*D64</f>
        <v>2.8877284595300261</v>
      </c>
      <c r="E68">
        <f t="shared" ref="E68:O68" si="10">E60*E64</f>
        <v>3.148825065274151</v>
      </c>
      <c r="F68">
        <f t="shared" si="10"/>
        <v>3.3054830287206265</v>
      </c>
      <c r="G68">
        <f t="shared" si="10"/>
        <v>9.8851174934725847</v>
      </c>
      <c r="H68">
        <f t="shared" si="10"/>
        <v>11.242819843342035</v>
      </c>
      <c r="I68">
        <f t="shared" si="10"/>
        <v>11.765013054830288</v>
      </c>
      <c r="J68">
        <f t="shared" si="10"/>
        <v>31.295039164490863</v>
      </c>
      <c r="K68">
        <f t="shared" si="10"/>
        <v>30.929503916449089</v>
      </c>
      <c r="L68">
        <f t="shared" si="10"/>
        <v>30.407310704960835</v>
      </c>
      <c r="M68">
        <f t="shared" si="10"/>
        <v>41.112271540469976</v>
      </c>
      <c r="N68">
        <f t="shared" si="10"/>
        <v>41.686684073107052</v>
      </c>
      <c r="O68">
        <f t="shared" si="10"/>
        <v>40.851174934725854</v>
      </c>
    </row>
    <row r="73" spans="1:15">
      <c r="B73" s="1" t="s">
        <v>583</v>
      </c>
    </row>
    <row r="75" spans="1:15">
      <c r="D75">
        <f>D68*10</f>
        <v>28.87728459530026</v>
      </c>
      <c r="E75">
        <f t="shared" ref="E75:O75" si="11">E68*10</f>
        <v>31.48825065274151</v>
      </c>
      <c r="F75">
        <f t="shared" si="11"/>
        <v>33.054830287206265</v>
      </c>
      <c r="G75">
        <f t="shared" si="11"/>
        <v>98.851174934725847</v>
      </c>
      <c r="H75">
        <f t="shared" si="11"/>
        <v>112.42819843342035</v>
      </c>
      <c r="I75">
        <f t="shared" si="11"/>
        <v>117.65013054830288</v>
      </c>
      <c r="J75">
        <f t="shared" si="11"/>
        <v>312.95039164490862</v>
      </c>
      <c r="K75">
        <f t="shared" si="11"/>
        <v>309.2950391644909</v>
      </c>
      <c r="L75">
        <f t="shared" si="11"/>
        <v>304.07310704960832</v>
      </c>
      <c r="M75">
        <f t="shared" si="11"/>
        <v>411.12271540469976</v>
      </c>
      <c r="N75">
        <f t="shared" si="11"/>
        <v>416.86684073107051</v>
      </c>
      <c r="O75">
        <f t="shared" si="11"/>
        <v>408.51174934725856</v>
      </c>
    </row>
    <row r="78" spans="1:15">
      <c r="C78" s="1" t="s">
        <v>385</v>
      </c>
      <c r="D78">
        <f>AVERAGE(D75:F75)</f>
        <v>31.140121845082678</v>
      </c>
      <c r="G78">
        <f t="shared" ref="G78:M78" si="12">AVERAGE(G75:I75)</f>
        <v>109.6431679721497</v>
      </c>
      <c r="J78">
        <f t="shared" si="12"/>
        <v>308.77284595300262</v>
      </c>
      <c r="M78">
        <f t="shared" si="12"/>
        <v>412.16710182767628</v>
      </c>
    </row>
    <row r="80" spans="1:15" ht="18.75">
      <c r="A80" s="1" t="s">
        <v>484</v>
      </c>
      <c r="B80" s="1"/>
      <c r="C80" s="1"/>
      <c r="D80" s="183"/>
      <c r="E80" s="183"/>
      <c r="F80" s="183"/>
      <c r="G80" s="183"/>
      <c r="H80" s="183"/>
      <c r="I80" s="183"/>
      <c r="J80" s="183"/>
      <c r="K80" s="183"/>
      <c r="L80" s="183"/>
      <c r="M80" s="183"/>
      <c r="N80" s="183"/>
      <c r="O80" s="183"/>
    </row>
    <row r="81" spans="1:15" ht="18.75">
      <c r="A81" s="1"/>
      <c r="B81" s="1"/>
      <c r="C81" s="1"/>
      <c r="D81" s="183" t="s">
        <v>174</v>
      </c>
      <c r="E81" s="183"/>
      <c r="F81" s="183"/>
      <c r="G81" s="183" t="s">
        <v>175</v>
      </c>
      <c r="H81" s="183"/>
      <c r="I81" s="183"/>
      <c r="J81" s="183" t="s">
        <v>176</v>
      </c>
      <c r="K81" s="183"/>
      <c r="L81" s="183"/>
      <c r="M81" s="183" t="s">
        <v>177</v>
      </c>
      <c r="N81" s="183"/>
      <c r="O81" s="183"/>
    </row>
    <row r="82" spans="1:15">
      <c r="C82" s="1" t="s">
        <v>586</v>
      </c>
      <c r="D82">
        <v>0.22900000000000001</v>
      </c>
      <c r="E82">
        <v>0.23300000000000001</v>
      </c>
      <c r="F82">
        <v>0.29099999999999998</v>
      </c>
      <c r="G82">
        <v>0.48499999999999999</v>
      </c>
      <c r="H82">
        <v>0.41099999999999998</v>
      </c>
      <c r="I82">
        <v>0.42299999999999999</v>
      </c>
      <c r="J82">
        <v>0.621</v>
      </c>
      <c r="K82">
        <v>0.65300000000000002</v>
      </c>
      <c r="L82">
        <v>0.68300000000000005</v>
      </c>
      <c r="M82">
        <v>0.51200000000000001</v>
      </c>
      <c r="N82">
        <v>0.52700000000000002</v>
      </c>
      <c r="O82">
        <v>0.59199999999999997</v>
      </c>
    </row>
    <row r="83" spans="1:15">
      <c r="C83" s="1"/>
    </row>
    <row r="87" spans="1:15">
      <c r="B87" s="1" t="s">
        <v>578</v>
      </c>
      <c r="C87" s="1"/>
      <c r="D87">
        <f>D82-0.0287</f>
        <v>0.20030000000000001</v>
      </c>
      <c r="E87">
        <f t="shared" ref="E87:O87" si="13">E82-0.0287</f>
        <v>0.20430000000000001</v>
      </c>
      <c r="F87">
        <f t="shared" si="13"/>
        <v>0.26229999999999998</v>
      </c>
      <c r="G87">
        <f t="shared" si="13"/>
        <v>0.45629999999999998</v>
      </c>
      <c r="H87">
        <f t="shared" si="13"/>
        <v>0.38229999999999997</v>
      </c>
      <c r="I87">
        <f t="shared" si="13"/>
        <v>0.39429999999999998</v>
      </c>
      <c r="J87">
        <f t="shared" si="13"/>
        <v>0.59230000000000005</v>
      </c>
      <c r="K87">
        <f t="shared" si="13"/>
        <v>0.62430000000000008</v>
      </c>
      <c r="L87">
        <f t="shared" si="13"/>
        <v>0.6543000000000001</v>
      </c>
      <c r="M87">
        <f t="shared" si="13"/>
        <v>0.48330000000000001</v>
      </c>
      <c r="N87">
        <f t="shared" si="13"/>
        <v>0.49830000000000002</v>
      </c>
      <c r="O87">
        <f t="shared" si="13"/>
        <v>0.56330000000000002</v>
      </c>
    </row>
    <row r="88" spans="1:15">
      <c r="B88" s="1"/>
      <c r="C88" s="1"/>
    </row>
    <row r="89" spans="1:15">
      <c r="B89" s="1"/>
      <c r="C89" s="1"/>
    </row>
    <row r="90" spans="1:15">
      <c r="B90" s="1" t="s">
        <v>579</v>
      </c>
      <c r="C90" s="1"/>
    </row>
    <row r="91" spans="1:15">
      <c r="B91" s="1" t="s">
        <v>580</v>
      </c>
      <c r="C91" s="1"/>
      <c r="D91">
        <f>D87/0.0383</f>
        <v>5.2297650130548305</v>
      </c>
      <c r="E91">
        <f t="shared" ref="E91:O91" si="14">E87/0.0383</f>
        <v>5.3342036553524803</v>
      </c>
      <c r="F91">
        <f t="shared" si="14"/>
        <v>6.8485639686684063</v>
      </c>
      <c r="G91">
        <f t="shared" si="14"/>
        <v>11.913838120104439</v>
      </c>
      <c r="H91">
        <f t="shared" si="14"/>
        <v>9.9817232375979099</v>
      </c>
      <c r="I91">
        <f t="shared" si="14"/>
        <v>10.295039164490861</v>
      </c>
      <c r="J91">
        <f t="shared" si="14"/>
        <v>15.464751958224545</v>
      </c>
      <c r="K91">
        <f t="shared" si="14"/>
        <v>16.300261096605745</v>
      </c>
      <c r="L91">
        <f t="shared" si="14"/>
        <v>17.083550913838124</v>
      </c>
      <c r="M91">
        <f t="shared" si="14"/>
        <v>12.618798955613578</v>
      </c>
      <c r="N91">
        <f t="shared" si="14"/>
        <v>13.010443864229766</v>
      </c>
      <c r="O91">
        <f t="shared" si="14"/>
        <v>14.70757180156658</v>
      </c>
    </row>
    <row r="92" spans="1:15">
      <c r="B92" s="1"/>
      <c r="C92" s="1"/>
    </row>
    <row r="93" spans="1:15">
      <c r="B93" s="1"/>
      <c r="C93" s="1"/>
    </row>
    <row r="94" spans="1:15">
      <c r="B94" s="1"/>
      <c r="C94" s="1"/>
    </row>
    <row r="95" spans="1:15">
      <c r="B95" s="1" t="s">
        <v>581</v>
      </c>
      <c r="C95" s="1"/>
      <c r="D95">
        <f>200/100</f>
        <v>2</v>
      </c>
      <c r="E95">
        <f t="shared" ref="E95:O95" si="15">200/100</f>
        <v>2</v>
      </c>
      <c r="F95">
        <f t="shared" si="15"/>
        <v>2</v>
      </c>
      <c r="G95">
        <f t="shared" si="15"/>
        <v>2</v>
      </c>
      <c r="H95">
        <f t="shared" si="15"/>
        <v>2</v>
      </c>
      <c r="I95">
        <f t="shared" si="15"/>
        <v>2</v>
      </c>
      <c r="J95">
        <f t="shared" si="15"/>
        <v>2</v>
      </c>
      <c r="K95">
        <f t="shared" si="15"/>
        <v>2</v>
      </c>
      <c r="L95">
        <f t="shared" si="15"/>
        <v>2</v>
      </c>
      <c r="M95">
        <f t="shared" si="15"/>
        <v>2</v>
      </c>
      <c r="N95">
        <f t="shared" si="15"/>
        <v>2</v>
      </c>
      <c r="O95">
        <f t="shared" si="15"/>
        <v>2</v>
      </c>
    </row>
    <row r="96" spans="1:15">
      <c r="B96" s="1"/>
      <c r="C96" s="1"/>
    </row>
    <row r="97" spans="1:15">
      <c r="B97" s="1"/>
      <c r="C97" s="1"/>
    </row>
    <row r="98" spans="1:15">
      <c r="B98" s="1" t="s">
        <v>582</v>
      </c>
      <c r="C98" s="1"/>
    </row>
    <row r="99" spans="1:15">
      <c r="D99">
        <f>D91*D95</f>
        <v>10.459530026109661</v>
      </c>
      <c r="E99">
        <f t="shared" ref="E99:O99" si="16">E91*E95</f>
        <v>10.668407310704961</v>
      </c>
      <c r="F99">
        <f t="shared" si="16"/>
        <v>13.697127937336813</v>
      </c>
      <c r="G99">
        <f t="shared" si="16"/>
        <v>23.827676240208877</v>
      </c>
      <c r="H99">
        <f t="shared" si="16"/>
        <v>19.96344647519582</v>
      </c>
      <c r="I99">
        <f t="shared" si="16"/>
        <v>20.590078328981722</v>
      </c>
      <c r="J99">
        <f t="shared" si="16"/>
        <v>30.929503916449089</v>
      </c>
      <c r="K99">
        <f t="shared" si="16"/>
        <v>32.600522193211489</v>
      </c>
      <c r="L99">
        <f t="shared" si="16"/>
        <v>34.167101827676248</v>
      </c>
      <c r="M99">
        <f t="shared" si="16"/>
        <v>25.237597911227155</v>
      </c>
      <c r="N99">
        <f t="shared" si="16"/>
        <v>26.020887728459531</v>
      </c>
      <c r="O99">
        <f t="shared" si="16"/>
        <v>29.41514360313316</v>
      </c>
    </row>
    <row r="104" spans="1:15">
      <c r="B104" s="1" t="s">
        <v>583</v>
      </c>
    </row>
    <row r="106" spans="1:15">
      <c r="D106">
        <f>D99*10</f>
        <v>104.59530026109661</v>
      </c>
      <c r="E106">
        <f t="shared" ref="E106:O106" si="17">E99*10</f>
        <v>106.68407310704961</v>
      </c>
      <c r="F106">
        <f t="shared" si="17"/>
        <v>136.97127937336813</v>
      </c>
      <c r="G106">
        <f t="shared" si="17"/>
        <v>238.27676240208876</v>
      </c>
      <c r="H106">
        <f t="shared" si="17"/>
        <v>199.63446475195821</v>
      </c>
      <c r="I106">
        <f t="shared" si="17"/>
        <v>205.90078328981721</v>
      </c>
      <c r="J106">
        <f t="shared" si="17"/>
        <v>309.2950391644909</v>
      </c>
      <c r="K106">
        <f t="shared" si="17"/>
        <v>326.00522193211486</v>
      </c>
      <c r="L106">
        <f t="shared" si="17"/>
        <v>341.67101827676248</v>
      </c>
      <c r="M106">
        <f t="shared" si="17"/>
        <v>252.37597911227155</v>
      </c>
      <c r="N106">
        <f t="shared" si="17"/>
        <v>260.2088772845953</v>
      </c>
      <c r="O106">
        <f t="shared" si="17"/>
        <v>294.15143603133163</v>
      </c>
    </row>
    <row r="108" spans="1:15">
      <c r="C108" s="1" t="s">
        <v>385</v>
      </c>
      <c r="D108">
        <f>AVERAGE(D106:F106)</f>
        <v>116.08355091383812</v>
      </c>
      <c r="G108">
        <f t="shared" ref="G108:M108" si="18">AVERAGE(G106:I106)</f>
        <v>214.60400348128806</v>
      </c>
      <c r="J108">
        <f t="shared" si="18"/>
        <v>325.65709312445603</v>
      </c>
      <c r="M108">
        <f t="shared" si="18"/>
        <v>268.91209747606615</v>
      </c>
    </row>
    <row r="111" spans="1:15" ht="18.75">
      <c r="A111" s="1" t="s">
        <v>485</v>
      </c>
      <c r="B111" s="1"/>
      <c r="C111" s="1"/>
      <c r="D111" s="183"/>
      <c r="E111" s="183"/>
      <c r="F111" s="183"/>
      <c r="G111" s="183"/>
      <c r="H111" s="183"/>
      <c r="I111" s="183"/>
      <c r="J111" s="183"/>
      <c r="K111" s="183"/>
      <c r="L111" s="183"/>
      <c r="M111" s="183"/>
      <c r="N111" s="183"/>
      <c r="O111" s="183"/>
    </row>
    <row r="112" spans="1:15" ht="18.75">
      <c r="A112" s="1"/>
      <c r="B112" s="1"/>
      <c r="C112" s="1"/>
      <c r="D112" s="183" t="s">
        <v>174</v>
      </c>
      <c r="E112" s="183"/>
      <c r="F112" s="183"/>
      <c r="G112" s="183" t="s">
        <v>175</v>
      </c>
      <c r="H112" s="183"/>
      <c r="I112" s="183"/>
      <c r="J112" s="183" t="s">
        <v>176</v>
      </c>
      <c r="K112" s="183"/>
      <c r="L112" s="183"/>
      <c r="M112" s="183" t="s">
        <v>177</v>
      </c>
      <c r="N112" s="183"/>
      <c r="O112" s="183"/>
    </row>
    <row r="113" spans="2:15">
      <c r="C113" s="1" t="s">
        <v>586</v>
      </c>
      <c r="D113">
        <v>3.7999999999999999E-2</v>
      </c>
      <c r="E113">
        <v>3.6999999999999998E-2</v>
      </c>
      <c r="F113">
        <v>7.6999999999999999E-2</v>
      </c>
      <c r="G113">
        <v>0.217</v>
      </c>
      <c r="H113">
        <v>0.25700000000000001</v>
      </c>
      <c r="I113">
        <v>0.219</v>
      </c>
      <c r="J113">
        <v>0.57299999999999995</v>
      </c>
      <c r="K113">
        <v>0.58199999999999996</v>
      </c>
      <c r="L113">
        <v>0.57199999999999995</v>
      </c>
      <c r="M113">
        <v>0.73299999999999998</v>
      </c>
      <c r="N113">
        <v>0.72799999999999998</v>
      </c>
      <c r="O113">
        <v>0.79400000000000004</v>
      </c>
    </row>
    <row r="114" spans="2:15">
      <c r="C114" s="1"/>
    </row>
    <row r="118" spans="2:15">
      <c r="B118" s="1" t="s">
        <v>578</v>
      </c>
      <c r="C118" s="1"/>
      <c r="D118">
        <f>D113-0.0287</f>
        <v>9.2999999999999992E-3</v>
      </c>
      <c r="E118">
        <f t="shared" ref="E118:O118" si="19">E113-0.0287</f>
        <v>8.2999999999999984E-3</v>
      </c>
      <c r="F118">
        <f t="shared" si="19"/>
        <v>4.8299999999999996E-2</v>
      </c>
      <c r="G118">
        <f t="shared" si="19"/>
        <v>0.1883</v>
      </c>
      <c r="H118">
        <f t="shared" si="19"/>
        <v>0.2283</v>
      </c>
      <c r="I118">
        <f t="shared" si="19"/>
        <v>0.1903</v>
      </c>
      <c r="J118">
        <f t="shared" si="19"/>
        <v>0.54430000000000001</v>
      </c>
      <c r="K118">
        <f t="shared" si="19"/>
        <v>0.55330000000000001</v>
      </c>
      <c r="L118">
        <f t="shared" si="19"/>
        <v>0.54330000000000001</v>
      </c>
      <c r="M118">
        <f t="shared" si="19"/>
        <v>0.70430000000000004</v>
      </c>
      <c r="N118">
        <f t="shared" si="19"/>
        <v>0.69930000000000003</v>
      </c>
      <c r="O118">
        <f t="shared" si="19"/>
        <v>0.76530000000000009</v>
      </c>
    </row>
    <row r="119" spans="2:15">
      <c r="B119" s="1"/>
      <c r="C119" s="1"/>
    </row>
    <row r="120" spans="2:15">
      <c r="B120" s="1"/>
      <c r="C120" s="1"/>
    </row>
    <row r="121" spans="2:15">
      <c r="B121" s="1" t="s">
        <v>579</v>
      </c>
      <c r="C121" s="1"/>
    </row>
    <row r="122" spans="2:15">
      <c r="B122" s="1" t="s">
        <v>580</v>
      </c>
      <c r="C122" s="1"/>
      <c r="D122">
        <f>D118/0.0383</f>
        <v>0.24281984334203652</v>
      </c>
      <c r="E122">
        <f t="shared" ref="E122:O122" si="20">E118/0.0383</f>
        <v>0.21671018276762397</v>
      </c>
      <c r="F122">
        <f t="shared" si="20"/>
        <v>1.2610966057441253</v>
      </c>
      <c r="G122">
        <f t="shared" si="20"/>
        <v>4.9164490861618795</v>
      </c>
      <c r="H122">
        <f t="shared" si="20"/>
        <v>5.9608355091383816</v>
      </c>
      <c r="I122">
        <f t="shared" si="20"/>
        <v>4.9686684073107044</v>
      </c>
      <c r="J122">
        <f t="shared" si="20"/>
        <v>14.211488250652742</v>
      </c>
      <c r="K122">
        <f t="shared" si="20"/>
        <v>14.446475195822455</v>
      </c>
      <c r="L122">
        <f t="shared" si="20"/>
        <v>14.185378590078329</v>
      </c>
      <c r="M122">
        <f t="shared" si="20"/>
        <v>18.389033942558747</v>
      </c>
      <c r="N122">
        <f t="shared" si="20"/>
        <v>18.258485639686686</v>
      </c>
      <c r="O122">
        <f t="shared" si="20"/>
        <v>19.981723237597912</v>
      </c>
    </row>
    <row r="123" spans="2:15">
      <c r="B123" s="1"/>
      <c r="C123" s="1"/>
    </row>
    <row r="124" spans="2:15">
      <c r="B124" s="1"/>
      <c r="C124" s="1"/>
    </row>
    <row r="125" spans="2:15">
      <c r="B125" s="1"/>
      <c r="C125" s="1"/>
    </row>
    <row r="126" spans="2:15">
      <c r="B126" s="1" t="s">
        <v>581</v>
      </c>
      <c r="C126" s="1"/>
      <c r="D126">
        <f>200/100</f>
        <v>2</v>
      </c>
      <c r="E126">
        <f t="shared" ref="E126:O126" si="21">200/100</f>
        <v>2</v>
      </c>
      <c r="F126">
        <f t="shared" si="21"/>
        <v>2</v>
      </c>
      <c r="G126">
        <f t="shared" si="21"/>
        <v>2</v>
      </c>
      <c r="H126">
        <f t="shared" si="21"/>
        <v>2</v>
      </c>
      <c r="I126">
        <f t="shared" si="21"/>
        <v>2</v>
      </c>
      <c r="J126">
        <f t="shared" si="21"/>
        <v>2</v>
      </c>
      <c r="K126">
        <f t="shared" si="21"/>
        <v>2</v>
      </c>
      <c r="L126">
        <f t="shared" si="21"/>
        <v>2</v>
      </c>
      <c r="M126">
        <f t="shared" si="21"/>
        <v>2</v>
      </c>
      <c r="N126">
        <f t="shared" si="21"/>
        <v>2</v>
      </c>
      <c r="O126">
        <f t="shared" si="21"/>
        <v>2</v>
      </c>
    </row>
    <row r="127" spans="2:15">
      <c r="B127" s="1"/>
      <c r="C127" s="1"/>
    </row>
    <row r="128" spans="2:15">
      <c r="B128" s="1"/>
      <c r="C128" s="1"/>
    </row>
    <row r="129" spans="1:15">
      <c r="B129" s="1" t="s">
        <v>582</v>
      </c>
      <c r="C129" s="1"/>
    </row>
    <row r="130" spans="1:15">
      <c r="D130">
        <f>D122*D126</f>
        <v>0.48563968668407304</v>
      </c>
      <c r="E130">
        <f t="shared" ref="E130:O130" si="22">E122*E126</f>
        <v>0.43342036553524793</v>
      </c>
      <c r="F130">
        <f t="shared" si="22"/>
        <v>2.5221932114882506</v>
      </c>
      <c r="G130">
        <f t="shared" si="22"/>
        <v>9.832898172323759</v>
      </c>
      <c r="H130">
        <f t="shared" si="22"/>
        <v>11.921671018276763</v>
      </c>
      <c r="I130">
        <f t="shared" si="22"/>
        <v>9.9373368146214087</v>
      </c>
      <c r="J130">
        <f t="shared" si="22"/>
        <v>28.422976501305484</v>
      </c>
      <c r="K130">
        <f t="shared" si="22"/>
        <v>28.892950391644909</v>
      </c>
      <c r="L130">
        <f t="shared" si="22"/>
        <v>28.370757180156659</v>
      </c>
      <c r="M130">
        <f t="shared" si="22"/>
        <v>36.778067885117494</v>
      </c>
      <c r="N130">
        <f t="shared" si="22"/>
        <v>36.516971279373372</v>
      </c>
      <c r="O130">
        <f t="shared" si="22"/>
        <v>39.963446475195823</v>
      </c>
    </row>
    <row r="135" spans="1:15">
      <c r="B135" s="1" t="s">
        <v>583</v>
      </c>
    </row>
    <row r="137" spans="1:15">
      <c r="D137">
        <f>D130*10</f>
        <v>4.85639686684073</v>
      </c>
      <c r="E137">
        <f t="shared" ref="E137:O137" si="23">E130*10</f>
        <v>4.3342036553524794</v>
      </c>
      <c r="F137">
        <f t="shared" si="23"/>
        <v>25.221932114882506</v>
      </c>
      <c r="G137">
        <f t="shared" si="23"/>
        <v>98.32898172323759</v>
      </c>
      <c r="H137">
        <f t="shared" si="23"/>
        <v>119.21671018276763</v>
      </c>
      <c r="I137">
        <f t="shared" si="23"/>
        <v>99.373368146214091</v>
      </c>
      <c r="J137">
        <f t="shared" si="23"/>
        <v>284.22976501305482</v>
      </c>
      <c r="K137">
        <f t="shared" si="23"/>
        <v>288.92950391644911</v>
      </c>
      <c r="L137">
        <f t="shared" si="23"/>
        <v>283.70757180156659</v>
      </c>
      <c r="M137">
        <f t="shared" si="23"/>
        <v>367.78067885117491</v>
      </c>
      <c r="N137">
        <f t="shared" si="23"/>
        <v>365.16971279373371</v>
      </c>
      <c r="O137">
        <f t="shared" si="23"/>
        <v>399.63446475195826</v>
      </c>
    </row>
    <row r="139" spans="1:15">
      <c r="C139" t="s">
        <v>385</v>
      </c>
      <c r="D139">
        <f>AVERAGE(D137:O137)</f>
        <v>195.06527415143603</v>
      </c>
      <c r="G139">
        <f t="shared" ref="G139:M139" si="24">AVERAGE(G137:R137)</f>
        <v>256.26341746446184</v>
      </c>
      <c r="J139">
        <f t="shared" si="24"/>
        <v>331.57528285465622</v>
      </c>
      <c r="M139">
        <f t="shared" si="24"/>
        <v>377.52828546562233</v>
      </c>
    </row>
    <row r="142" spans="1:15" ht="18.75">
      <c r="A142" s="1" t="s">
        <v>486</v>
      </c>
      <c r="B142" s="1"/>
      <c r="C142" s="1"/>
      <c r="D142" s="183"/>
      <c r="E142" s="183"/>
      <c r="F142" s="183"/>
      <c r="G142" s="183"/>
      <c r="H142" s="183"/>
      <c r="I142" s="183"/>
      <c r="J142" s="183"/>
      <c r="K142" s="183"/>
      <c r="L142" s="183"/>
      <c r="M142" s="183"/>
      <c r="N142" s="183"/>
      <c r="O142" s="183"/>
    </row>
    <row r="143" spans="1:15" ht="18.75">
      <c r="A143" s="1"/>
      <c r="B143" s="1"/>
      <c r="C143" s="1"/>
      <c r="D143" s="183" t="s">
        <v>174</v>
      </c>
      <c r="E143" s="183"/>
      <c r="F143" s="183"/>
      <c r="G143" s="183" t="s">
        <v>175</v>
      </c>
      <c r="H143" s="183"/>
      <c r="I143" s="183"/>
      <c r="J143" s="183" t="s">
        <v>176</v>
      </c>
      <c r="K143" s="183"/>
      <c r="L143" s="183"/>
      <c r="M143" s="183" t="s">
        <v>177</v>
      </c>
      <c r="N143" s="183"/>
      <c r="O143" s="183"/>
    </row>
    <row r="144" spans="1:15">
      <c r="C144" s="1" t="s">
        <v>586</v>
      </c>
      <c r="D144">
        <v>0.183</v>
      </c>
      <c r="E144">
        <v>0.14299999999999999</v>
      </c>
      <c r="F144">
        <v>0.129</v>
      </c>
      <c r="G144">
        <v>0.48199999999999998</v>
      </c>
      <c r="H144">
        <v>0.433</v>
      </c>
      <c r="I144">
        <v>0.41799999999999998</v>
      </c>
      <c r="J144">
        <v>0.38400000000000001</v>
      </c>
      <c r="K144">
        <v>0.38100000000000001</v>
      </c>
      <c r="L144">
        <v>0.38900000000000001</v>
      </c>
      <c r="M144">
        <v>1.2809999999999999</v>
      </c>
      <c r="N144">
        <v>1.33</v>
      </c>
      <c r="O144">
        <v>1.2350000000000001</v>
      </c>
    </row>
    <row r="145" spans="2:15">
      <c r="C145" s="1" t="s">
        <v>585</v>
      </c>
    </row>
    <row r="149" spans="2:15">
      <c r="B149" s="1" t="s">
        <v>578</v>
      </c>
      <c r="C149" s="1"/>
      <c r="D149">
        <f>D144-0.0287</f>
        <v>0.15429999999999999</v>
      </c>
      <c r="E149">
        <f t="shared" ref="E149:O149" si="25">E144-0.0287</f>
        <v>0.11429999999999998</v>
      </c>
      <c r="F149">
        <f t="shared" si="25"/>
        <v>0.1003</v>
      </c>
      <c r="G149">
        <f t="shared" si="25"/>
        <v>0.45329999999999998</v>
      </c>
      <c r="H149">
        <f t="shared" si="25"/>
        <v>0.40429999999999999</v>
      </c>
      <c r="I149">
        <f t="shared" si="25"/>
        <v>0.38929999999999998</v>
      </c>
      <c r="J149">
        <f t="shared" si="25"/>
        <v>0.3553</v>
      </c>
      <c r="K149">
        <f t="shared" si="25"/>
        <v>0.3523</v>
      </c>
      <c r="L149">
        <f t="shared" si="25"/>
        <v>0.36030000000000001</v>
      </c>
      <c r="M149">
        <f t="shared" si="25"/>
        <v>1.2523</v>
      </c>
      <c r="N149">
        <f t="shared" si="25"/>
        <v>1.3013000000000001</v>
      </c>
      <c r="O149">
        <f t="shared" si="25"/>
        <v>1.2063000000000001</v>
      </c>
    </row>
    <row r="150" spans="2:15">
      <c r="B150" s="1"/>
      <c r="C150" s="1"/>
    </row>
    <row r="151" spans="2:15">
      <c r="B151" s="1"/>
      <c r="C151" s="1"/>
    </row>
    <row r="152" spans="2:15">
      <c r="B152" s="1" t="s">
        <v>579</v>
      </c>
      <c r="C152" s="1"/>
    </row>
    <row r="153" spans="2:15">
      <c r="B153" s="1" t="s">
        <v>580</v>
      </c>
      <c r="C153" s="1"/>
      <c r="D153">
        <f>D149/0.0383</f>
        <v>4.0287206266318538</v>
      </c>
      <c r="E153">
        <f t="shared" ref="E153:O153" si="26">E149/0.0383</f>
        <v>2.9843342036553522</v>
      </c>
      <c r="F153">
        <f t="shared" si="26"/>
        <v>2.6187989556135771</v>
      </c>
      <c r="G153">
        <f t="shared" si="26"/>
        <v>11.8355091383812</v>
      </c>
      <c r="H153">
        <f t="shared" si="26"/>
        <v>10.556135770234986</v>
      </c>
      <c r="I153">
        <f t="shared" si="26"/>
        <v>10.164490861618798</v>
      </c>
      <c r="J153">
        <f t="shared" si="26"/>
        <v>9.2767624020887727</v>
      </c>
      <c r="K153">
        <f t="shared" si="26"/>
        <v>9.1984334203655358</v>
      </c>
      <c r="L153">
        <f t="shared" si="26"/>
        <v>9.4073107049608353</v>
      </c>
      <c r="M153">
        <f t="shared" si="26"/>
        <v>32.697127937336816</v>
      </c>
      <c r="N153">
        <f t="shared" si="26"/>
        <v>33.976501305483033</v>
      </c>
      <c r="O153">
        <f t="shared" si="26"/>
        <v>31.496083550913841</v>
      </c>
    </row>
    <row r="154" spans="2:15">
      <c r="B154" s="1"/>
      <c r="C154" s="1"/>
    </row>
    <row r="155" spans="2:15">
      <c r="B155" s="1"/>
      <c r="C155" s="1"/>
    </row>
    <row r="156" spans="2:15">
      <c r="B156" s="1"/>
      <c r="C156" s="1"/>
    </row>
    <row r="157" spans="2:15">
      <c r="B157" s="1" t="s">
        <v>581</v>
      </c>
      <c r="C157" s="1"/>
      <c r="D157">
        <f>200/100</f>
        <v>2</v>
      </c>
      <c r="E157">
        <f t="shared" ref="E157:O157" si="27">200/100</f>
        <v>2</v>
      </c>
      <c r="F157">
        <f t="shared" si="27"/>
        <v>2</v>
      </c>
      <c r="G157">
        <f t="shared" si="27"/>
        <v>2</v>
      </c>
      <c r="H157">
        <f t="shared" si="27"/>
        <v>2</v>
      </c>
      <c r="I157">
        <f t="shared" si="27"/>
        <v>2</v>
      </c>
      <c r="J157">
        <f t="shared" si="27"/>
        <v>2</v>
      </c>
      <c r="K157">
        <f t="shared" si="27"/>
        <v>2</v>
      </c>
      <c r="L157">
        <f t="shared" si="27"/>
        <v>2</v>
      </c>
      <c r="M157">
        <f t="shared" si="27"/>
        <v>2</v>
      </c>
      <c r="N157">
        <f t="shared" si="27"/>
        <v>2</v>
      </c>
      <c r="O157">
        <f t="shared" si="27"/>
        <v>2</v>
      </c>
    </row>
    <row r="158" spans="2:15">
      <c r="B158" s="1"/>
      <c r="C158" s="1"/>
    </row>
    <row r="159" spans="2:15">
      <c r="B159" s="1"/>
      <c r="C159" s="1"/>
    </row>
    <row r="160" spans="2:15">
      <c r="B160" s="1" t="s">
        <v>582</v>
      </c>
      <c r="C160" s="1"/>
    </row>
    <row r="161" spans="2:15">
      <c r="D161">
        <f>D153*D157</f>
        <v>8.0574412532637076</v>
      </c>
      <c r="E161">
        <f t="shared" ref="E161:O161" si="28">E153*E157</f>
        <v>5.9686684073107044</v>
      </c>
      <c r="F161">
        <f t="shared" si="28"/>
        <v>5.2375979112271542</v>
      </c>
      <c r="G161">
        <f t="shared" si="28"/>
        <v>23.6710182767624</v>
      </c>
      <c r="H161">
        <f t="shared" si="28"/>
        <v>21.112271540469973</v>
      </c>
      <c r="I161">
        <f t="shared" si="28"/>
        <v>20.328981723237597</v>
      </c>
      <c r="J161">
        <f t="shared" si="28"/>
        <v>18.553524804177545</v>
      </c>
      <c r="K161">
        <f t="shared" si="28"/>
        <v>18.396866840731072</v>
      </c>
      <c r="L161">
        <f t="shared" si="28"/>
        <v>18.814621409921671</v>
      </c>
      <c r="M161">
        <f t="shared" si="28"/>
        <v>65.394255874673632</v>
      </c>
      <c r="N161">
        <f t="shared" si="28"/>
        <v>67.953002610966067</v>
      </c>
      <c r="O161">
        <f t="shared" si="28"/>
        <v>62.992167101827683</v>
      </c>
    </row>
    <row r="166" spans="2:15">
      <c r="B166" s="1" t="s">
        <v>583</v>
      </c>
    </row>
    <row r="168" spans="2:15">
      <c r="D168">
        <f>D161*10</f>
        <v>80.574412532637069</v>
      </c>
      <c r="E168">
        <f t="shared" ref="E168:O168" si="29">E161*10</f>
        <v>59.686684073107045</v>
      </c>
      <c r="F168">
        <f t="shared" si="29"/>
        <v>52.375979112271544</v>
      </c>
      <c r="G168">
        <f t="shared" si="29"/>
        <v>236.71018276762399</v>
      </c>
      <c r="H168">
        <f t="shared" si="29"/>
        <v>211.12271540469973</v>
      </c>
      <c r="I168">
        <f t="shared" si="29"/>
        <v>203.28981723237598</v>
      </c>
      <c r="J168">
        <f t="shared" si="29"/>
        <v>185.53524804177545</v>
      </c>
      <c r="K168">
        <f t="shared" si="29"/>
        <v>183.9686684073107</v>
      </c>
      <c r="L168">
        <f t="shared" si="29"/>
        <v>188.14621409921671</v>
      </c>
      <c r="M168">
        <f t="shared" si="29"/>
        <v>653.94255874673627</v>
      </c>
      <c r="N168">
        <f t="shared" si="29"/>
        <v>679.53002610966064</v>
      </c>
      <c r="O168">
        <f t="shared" si="29"/>
        <v>629.92167101827681</v>
      </c>
    </row>
    <row r="171" spans="2:15">
      <c r="C171" t="s">
        <v>171</v>
      </c>
      <c r="D171">
        <f>AVERAGE(D168:F168)</f>
        <v>64.212358572671889</v>
      </c>
      <c r="G171">
        <f t="shared" ref="G171:M171" si="30">AVERAGE(G168:I168)</f>
        <v>217.04090513489987</v>
      </c>
      <c r="J171">
        <f t="shared" si="30"/>
        <v>185.88337684943428</v>
      </c>
      <c r="M171">
        <f t="shared" si="30"/>
        <v>654.46475195822461</v>
      </c>
    </row>
  </sheetData>
  <mergeCells count="43">
    <mergeCell ref="G17:I17"/>
    <mergeCell ref="J17:L17"/>
    <mergeCell ref="M17:O17"/>
    <mergeCell ref="D18:F18"/>
    <mergeCell ref="G18:I18"/>
    <mergeCell ref="J18:L18"/>
    <mergeCell ref="M18:O18"/>
    <mergeCell ref="D19:F19"/>
    <mergeCell ref="G19:I19"/>
    <mergeCell ref="J19:L19"/>
    <mergeCell ref="M19:O19"/>
    <mergeCell ref="D49:F49"/>
    <mergeCell ref="G49:I49"/>
    <mergeCell ref="J49:L49"/>
    <mergeCell ref="M49:O49"/>
    <mergeCell ref="D50:F50"/>
    <mergeCell ref="G50:I50"/>
    <mergeCell ref="J50:L50"/>
    <mergeCell ref="M50:O50"/>
    <mergeCell ref="D80:F80"/>
    <mergeCell ref="G80:I80"/>
    <mergeCell ref="J80:L80"/>
    <mergeCell ref="M80:O80"/>
    <mergeCell ref="D81:F81"/>
    <mergeCell ref="G81:I81"/>
    <mergeCell ref="J81:L81"/>
    <mergeCell ref="M81:O81"/>
    <mergeCell ref="D111:F111"/>
    <mergeCell ref="G111:I111"/>
    <mergeCell ref="J111:L111"/>
    <mergeCell ref="M111:O111"/>
    <mergeCell ref="D143:F143"/>
    <mergeCell ref="G143:I143"/>
    <mergeCell ref="J143:L143"/>
    <mergeCell ref="M143:O143"/>
    <mergeCell ref="D112:F112"/>
    <mergeCell ref="G112:I112"/>
    <mergeCell ref="J112:L112"/>
    <mergeCell ref="M112:O112"/>
    <mergeCell ref="D142:F142"/>
    <mergeCell ref="G142:I142"/>
    <mergeCell ref="J142:L142"/>
    <mergeCell ref="M142:O142"/>
  </mergeCells>
  <pageMargins left="0.7" right="0.7" top="0.75" bottom="0.75" header="0.3" footer="0.3"/>
  <pageSetup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9"/>
  <sheetViews>
    <sheetView topLeftCell="A2" workbookViewId="0">
      <selection activeCell="A2" sqref="A2"/>
    </sheetView>
  </sheetViews>
  <sheetFormatPr defaultRowHeight="15"/>
  <cols>
    <col min="1" max="1" width="16.85546875" customWidth="1"/>
    <col min="4" max="4" width="13.5703125" customWidth="1"/>
    <col min="5" max="5" width="13" customWidth="1"/>
    <col min="6" max="6" width="14.140625" customWidth="1"/>
    <col min="7" max="7" width="11.42578125" customWidth="1"/>
  </cols>
  <sheetData>
    <row r="2" spans="1:8">
      <c r="A2" s="1" t="s">
        <v>762</v>
      </c>
    </row>
    <row r="3" spans="1:8">
      <c r="D3" s="48" t="s">
        <v>601</v>
      </c>
      <c r="E3" s="48"/>
      <c r="F3" s="48"/>
      <c r="G3" s="48"/>
    </row>
    <row r="5" spans="1:8" ht="15.75">
      <c r="C5" s="41" t="s">
        <v>376</v>
      </c>
      <c r="D5" s="133" t="s">
        <v>174</v>
      </c>
      <c r="E5" s="133" t="s">
        <v>204</v>
      </c>
      <c r="F5" s="133" t="s">
        <v>175</v>
      </c>
      <c r="G5" s="133" t="s">
        <v>177</v>
      </c>
      <c r="H5" s="42"/>
    </row>
    <row r="6" spans="1:8" ht="15.75">
      <c r="C6" s="134" t="s">
        <v>589</v>
      </c>
      <c r="D6" s="42">
        <v>83</v>
      </c>
      <c r="E6" s="42">
        <v>51.96</v>
      </c>
      <c r="F6" s="42">
        <v>233</v>
      </c>
      <c r="G6" s="42">
        <v>82</v>
      </c>
      <c r="H6" s="42"/>
    </row>
    <row r="7" spans="1:8" ht="15.75">
      <c r="C7" s="134" t="s">
        <v>590</v>
      </c>
      <c r="D7" s="42">
        <v>30.83</v>
      </c>
      <c r="E7" s="42">
        <v>29</v>
      </c>
      <c r="F7" s="42">
        <v>76</v>
      </c>
      <c r="G7" s="42">
        <v>29</v>
      </c>
      <c r="H7" s="42"/>
    </row>
    <row r="8" spans="1:8" ht="15.75">
      <c r="C8" s="134" t="s">
        <v>591</v>
      </c>
      <c r="D8" s="42">
        <v>1375</v>
      </c>
      <c r="E8" s="42">
        <v>1188</v>
      </c>
      <c r="F8" s="42">
        <v>1715</v>
      </c>
      <c r="G8" s="42">
        <v>698</v>
      </c>
      <c r="H8" s="42"/>
    </row>
    <row r="9" spans="1:8" ht="15.75">
      <c r="C9" s="134" t="s">
        <v>592</v>
      </c>
      <c r="D9" s="42">
        <v>192</v>
      </c>
      <c r="E9" s="42">
        <v>161</v>
      </c>
      <c r="F9" s="42">
        <v>224</v>
      </c>
      <c r="G9" s="42">
        <v>68</v>
      </c>
      <c r="H9" s="42"/>
    </row>
    <row r="10" spans="1:8" ht="15.75">
      <c r="C10" s="134" t="s">
        <v>593</v>
      </c>
      <c r="D10" s="42">
        <v>72</v>
      </c>
      <c r="E10" s="42">
        <v>99</v>
      </c>
      <c r="F10" s="42">
        <v>137</v>
      </c>
      <c r="G10" s="42">
        <v>63</v>
      </c>
      <c r="H10" s="42"/>
    </row>
    <row r="11" spans="1:8" ht="15.75">
      <c r="C11" s="134" t="s">
        <v>594</v>
      </c>
      <c r="D11" s="42">
        <v>142.01</v>
      </c>
      <c r="E11" s="42">
        <v>129.33000000000001</v>
      </c>
      <c r="F11" s="42">
        <v>141.72</v>
      </c>
      <c r="G11" s="42">
        <v>163.04</v>
      </c>
      <c r="H11" s="42"/>
    </row>
    <row r="12" spans="1:8" ht="15.75">
      <c r="C12" s="134" t="s">
        <v>595</v>
      </c>
      <c r="D12" s="42">
        <v>15.57</v>
      </c>
      <c r="E12" s="42">
        <v>0</v>
      </c>
      <c r="F12" s="42">
        <v>1</v>
      </c>
      <c r="G12" s="42">
        <v>18.72</v>
      </c>
      <c r="H12" s="42"/>
    </row>
    <row r="13" spans="1:8" ht="15.75">
      <c r="C13" s="134" t="s">
        <v>596</v>
      </c>
      <c r="D13" s="42">
        <v>835</v>
      </c>
      <c r="E13" s="42">
        <v>609</v>
      </c>
      <c r="F13" s="42">
        <v>55</v>
      </c>
      <c r="G13" s="42">
        <v>1406</v>
      </c>
      <c r="H13" s="42"/>
    </row>
    <row r="14" spans="1:8" ht="15.75">
      <c r="C14" s="134" t="s">
        <v>597</v>
      </c>
      <c r="D14" s="134">
        <v>0</v>
      </c>
      <c r="E14" s="42">
        <v>1</v>
      </c>
      <c r="F14" s="42">
        <v>0</v>
      </c>
      <c r="G14" s="134">
        <v>0</v>
      </c>
      <c r="H14" s="42"/>
    </row>
    <row r="15" spans="1:8" ht="15.75">
      <c r="C15" s="134" t="s">
        <v>598</v>
      </c>
      <c r="D15" s="42">
        <v>5</v>
      </c>
      <c r="E15" s="42">
        <v>1</v>
      </c>
      <c r="F15" s="42">
        <v>0</v>
      </c>
      <c r="G15" s="42">
        <v>14</v>
      </c>
      <c r="H15" s="42"/>
    </row>
    <row r="16" spans="1:8" ht="15.75">
      <c r="C16" s="134" t="s">
        <v>599</v>
      </c>
      <c r="D16" s="134">
        <v>0</v>
      </c>
      <c r="E16" s="42">
        <v>27.6</v>
      </c>
      <c r="F16" s="42">
        <v>14.81</v>
      </c>
      <c r="G16" s="134">
        <v>0</v>
      </c>
      <c r="H16" s="42"/>
    </row>
    <row r="17" spans="3:8" ht="15.75">
      <c r="C17" s="134" t="s">
        <v>600</v>
      </c>
      <c r="D17" s="42">
        <v>1657</v>
      </c>
      <c r="E17" s="42">
        <v>1590</v>
      </c>
      <c r="F17" s="42">
        <v>1227</v>
      </c>
      <c r="G17" s="42">
        <v>1961</v>
      </c>
      <c r="H17" s="42"/>
    </row>
    <row r="18" spans="3:8" ht="15.75">
      <c r="C18" s="42"/>
      <c r="D18" s="42"/>
      <c r="E18" s="42"/>
      <c r="F18" s="42"/>
      <c r="G18" s="42"/>
      <c r="H18" s="42"/>
    </row>
    <row r="19" spans="3:8" ht="15.75">
      <c r="C19" s="42"/>
      <c r="D19" s="42"/>
      <c r="E19" s="42"/>
      <c r="F19" s="42"/>
      <c r="G19" s="42"/>
      <c r="H19" s="42"/>
    </row>
  </sheetData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3"/>
  <sheetViews>
    <sheetView workbookViewId="0">
      <selection activeCell="A15" sqref="A1:A15"/>
    </sheetView>
  </sheetViews>
  <sheetFormatPr defaultRowHeight="15"/>
  <cols>
    <col min="1" max="1" width="28.140625" customWidth="1"/>
    <col min="2" max="2" width="12.5703125" customWidth="1"/>
    <col min="4" max="4" width="11.42578125" customWidth="1"/>
    <col min="11" max="11" width="12.7109375" bestFit="1" customWidth="1"/>
  </cols>
  <sheetData>
    <row r="1" spans="1:20">
      <c r="A1" s="1" t="s">
        <v>606</v>
      </c>
    </row>
    <row r="3" spans="1:20">
      <c r="A3" s="1" t="s">
        <v>596</v>
      </c>
      <c r="B3" s="169" t="s">
        <v>181</v>
      </c>
      <c r="C3" s="169"/>
      <c r="D3" s="169"/>
      <c r="E3" s="1"/>
      <c r="F3" s="169" t="s">
        <v>182</v>
      </c>
      <c r="G3" s="169"/>
      <c r="H3" s="169"/>
      <c r="I3" s="1"/>
      <c r="J3" s="45" t="s">
        <v>191</v>
      </c>
      <c r="K3" s="1"/>
      <c r="L3" s="1"/>
      <c r="M3" s="1"/>
      <c r="N3" s="1" t="s">
        <v>602</v>
      </c>
      <c r="O3" s="1" t="s">
        <v>58</v>
      </c>
      <c r="P3" s="1"/>
      <c r="Q3" s="1" t="s">
        <v>185</v>
      </c>
      <c r="R3" s="1"/>
      <c r="S3" s="1" t="s">
        <v>186</v>
      </c>
    </row>
    <row r="4" spans="1:20">
      <c r="A4" s="21">
        <v>0</v>
      </c>
      <c r="B4" s="21" t="s">
        <v>187</v>
      </c>
      <c r="C4" s="21" t="s">
        <v>188</v>
      </c>
      <c r="D4" s="21" t="s">
        <v>189</v>
      </c>
      <c r="E4" s="21"/>
      <c r="F4" s="1" t="s">
        <v>190</v>
      </c>
      <c r="G4" s="1" t="s">
        <v>188</v>
      </c>
      <c r="H4" s="1" t="s">
        <v>189</v>
      </c>
    </row>
    <row r="5" spans="1:20">
      <c r="A5" s="21" t="s">
        <v>603</v>
      </c>
      <c r="B5" s="8">
        <v>22.495999999999999</v>
      </c>
      <c r="C5" s="8">
        <v>22.149000000000001</v>
      </c>
      <c r="D5" s="8">
        <v>22.495000000000001</v>
      </c>
      <c r="E5" s="62"/>
      <c r="F5" s="8">
        <v>17.5556831359863</v>
      </c>
      <c r="G5" s="8">
        <v>17.5501689910888</v>
      </c>
      <c r="H5" s="8">
        <v>17.5832195281982</v>
      </c>
      <c r="I5" s="8"/>
      <c r="J5" s="8">
        <f>B5-F5</f>
        <v>4.940316864013699</v>
      </c>
      <c r="K5">
        <f>C5-G5</f>
        <v>4.5988310089112012</v>
      </c>
      <c r="L5">
        <f>D5-H5</f>
        <v>4.9117804718018014</v>
      </c>
      <c r="N5">
        <f>AVERAGE(L5,J5)</f>
        <v>4.9260486679077502</v>
      </c>
      <c r="O5">
        <f>STDEV(J5,L5)</f>
        <v>2.017827644363172E-2</v>
      </c>
      <c r="Q5">
        <f>N5-N5</f>
        <v>0</v>
      </c>
      <c r="S5">
        <f>POWER(2,-Q5)</f>
        <v>1</v>
      </c>
      <c r="T5" t="s">
        <v>163</v>
      </c>
    </row>
    <row r="6" spans="1:20">
      <c r="A6" s="21" t="s">
        <v>604</v>
      </c>
      <c r="B6" s="8">
        <v>21.119</v>
      </c>
      <c r="C6" s="8">
        <v>21.85</v>
      </c>
      <c r="D6" s="8">
        <v>21.344999999999999</v>
      </c>
      <c r="E6" s="62"/>
      <c r="F6" s="8">
        <v>17.660923004150298</v>
      </c>
      <c r="G6" s="8">
        <v>17.488</v>
      </c>
      <c r="H6" s="8">
        <v>17.353999999999999</v>
      </c>
      <c r="I6" s="8"/>
      <c r="J6" s="8">
        <f t="shared" ref="J6:L7" si="0">B6-F6</f>
        <v>3.4580769958497015</v>
      </c>
      <c r="K6">
        <f t="shared" si="0"/>
        <v>4.3620000000000019</v>
      </c>
      <c r="L6">
        <f t="shared" si="0"/>
        <v>3.9909999999999997</v>
      </c>
      <c r="N6">
        <f t="shared" ref="N6:N7" si="1">AVERAGE(J6:L6)</f>
        <v>3.9370256652832345</v>
      </c>
      <c r="O6">
        <f t="shared" ref="O6:O7" si="2">STDEV(J6:L6)</f>
        <v>0.45437222732481575</v>
      </c>
      <c r="Q6">
        <f>N6-N5</f>
        <v>-0.9890230026245157</v>
      </c>
      <c r="S6">
        <f t="shared" ref="S6:S7" si="3">POWER(2,-Q6)</f>
        <v>1.9848403958201781</v>
      </c>
      <c r="T6" t="s">
        <v>164</v>
      </c>
    </row>
    <row r="7" spans="1:20">
      <c r="A7" s="21" t="s">
        <v>605</v>
      </c>
      <c r="B7" s="8">
        <v>21.395</v>
      </c>
      <c r="C7" s="8">
        <v>21.5669</v>
      </c>
      <c r="D7" s="8">
        <v>21.835000000000001</v>
      </c>
      <c r="E7" s="62"/>
      <c r="F7" s="8">
        <v>17.135000000000002</v>
      </c>
      <c r="G7" s="8">
        <v>17.292000000000002</v>
      </c>
      <c r="H7" s="8">
        <v>17.219000000000001</v>
      </c>
      <c r="I7" s="8"/>
      <c r="J7" s="8">
        <f t="shared" si="0"/>
        <v>4.259999999999998</v>
      </c>
      <c r="K7">
        <f t="shared" si="0"/>
        <v>4.2748999999999988</v>
      </c>
      <c r="L7">
        <f t="shared" si="0"/>
        <v>4.6159999999999997</v>
      </c>
      <c r="N7">
        <f t="shared" si="1"/>
        <v>4.3836333333333322</v>
      </c>
      <c r="O7">
        <f t="shared" si="2"/>
        <v>0.20137329349577027</v>
      </c>
      <c r="Q7">
        <f>N7-N5</f>
        <v>-0.54241533457441804</v>
      </c>
      <c r="S7">
        <f t="shared" si="3"/>
        <v>1.4564087712443416</v>
      </c>
      <c r="T7" t="s">
        <v>163</v>
      </c>
    </row>
    <row r="8" spans="1:20">
      <c r="A8" s="21"/>
      <c r="B8" s="8"/>
      <c r="C8" s="8"/>
      <c r="D8" s="8"/>
      <c r="E8" s="8"/>
      <c r="F8" s="8"/>
      <c r="G8" s="8"/>
      <c r="H8" s="8"/>
      <c r="I8" s="8"/>
      <c r="J8" s="8"/>
    </row>
    <row r="9" spans="1:20">
      <c r="A9" s="21">
        <v>1</v>
      </c>
      <c r="B9" s="8"/>
      <c r="C9" s="8"/>
      <c r="D9" s="8"/>
      <c r="E9" s="8"/>
      <c r="F9" s="8"/>
      <c r="G9" s="8"/>
      <c r="H9" s="8"/>
      <c r="I9" s="8"/>
      <c r="J9" s="8"/>
    </row>
    <row r="10" spans="1:20">
      <c r="A10" s="21" t="s">
        <v>603</v>
      </c>
      <c r="B10" s="8">
        <v>22.954000000000001</v>
      </c>
      <c r="C10" s="8">
        <v>22.494</v>
      </c>
      <c r="D10" s="8">
        <v>22.359000000000002</v>
      </c>
      <c r="E10" s="62"/>
      <c r="F10" s="8">
        <v>18.382999999999999</v>
      </c>
      <c r="G10" s="8">
        <v>18.283999999999999</v>
      </c>
      <c r="H10" s="8">
        <v>18.724</v>
      </c>
      <c r="I10" s="62"/>
      <c r="J10" s="62">
        <f>B10-F10</f>
        <v>4.5710000000000015</v>
      </c>
      <c r="K10" s="62">
        <f>C10-G10</f>
        <v>4.2100000000000009</v>
      </c>
      <c r="L10" s="62">
        <f>D10-H10</f>
        <v>3.6350000000000016</v>
      </c>
      <c r="M10" s="62"/>
      <c r="N10" s="62">
        <f>AVERAGE(L10,J10)</f>
        <v>4.1030000000000015</v>
      </c>
      <c r="O10">
        <f>STDEV(J10,L10)</f>
        <v>0.66185194719061002</v>
      </c>
      <c r="Q10">
        <f>N10-N10</f>
        <v>0</v>
      </c>
      <c r="S10">
        <f>POWER(2,-Q10)</f>
        <v>1</v>
      </c>
      <c r="T10" t="s">
        <v>163</v>
      </c>
    </row>
    <row r="11" spans="1:20">
      <c r="A11" s="21" t="s">
        <v>604</v>
      </c>
      <c r="B11" s="8">
        <v>21.794</v>
      </c>
      <c r="C11" s="8">
        <v>21.539000000000001</v>
      </c>
      <c r="D11" s="8">
        <v>21.221</v>
      </c>
      <c r="E11" s="62"/>
      <c r="F11" s="8">
        <v>18.727</v>
      </c>
      <c r="G11" s="8">
        <v>18.661999999999999</v>
      </c>
      <c r="H11" s="8">
        <v>18.274999999999999</v>
      </c>
      <c r="I11" s="62"/>
      <c r="J11" s="62">
        <f t="shared" ref="J11:L12" si="4">B11-F11</f>
        <v>3.0670000000000002</v>
      </c>
      <c r="K11" s="62">
        <f t="shared" si="4"/>
        <v>2.8770000000000024</v>
      </c>
      <c r="L11" s="62">
        <f t="shared" si="4"/>
        <v>2.9460000000000015</v>
      </c>
      <c r="M11" s="62"/>
      <c r="N11" s="62">
        <f t="shared" ref="N11:N12" si="5">AVERAGE(J11:L11)</f>
        <v>2.9633333333333347</v>
      </c>
      <c r="O11">
        <f t="shared" ref="O11:O12" si="6">STDEV(J11:L11)</f>
        <v>9.6178653210227033E-2</v>
      </c>
      <c r="Q11">
        <f>N11-N10</f>
        <v>-1.1396666666666668</v>
      </c>
      <c r="S11">
        <f t="shared" ref="S11:S12" si="7">POWER(2,-Q11)</f>
        <v>2.2033011022895521</v>
      </c>
      <c r="T11" t="s">
        <v>164</v>
      </c>
    </row>
    <row r="12" spans="1:20">
      <c r="A12" s="21" t="s">
        <v>605</v>
      </c>
      <c r="B12" s="8">
        <v>22.222000000000001</v>
      </c>
      <c r="C12" s="8">
        <v>22.385000000000002</v>
      </c>
      <c r="D12" s="8">
        <v>22.193999999999999</v>
      </c>
      <c r="E12" s="62"/>
      <c r="F12" s="8">
        <v>18.952999999999999</v>
      </c>
      <c r="G12" s="8">
        <v>18.777999999999999</v>
      </c>
      <c r="H12" s="8">
        <v>18.827999999999999</v>
      </c>
      <c r="I12" s="62"/>
      <c r="J12" s="62">
        <f t="shared" si="4"/>
        <v>3.2690000000000019</v>
      </c>
      <c r="K12" s="62">
        <f t="shared" si="4"/>
        <v>3.6070000000000029</v>
      </c>
      <c r="L12" s="62">
        <f t="shared" si="4"/>
        <v>3.3659999999999997</v>
      </c>
      <c r="M12" s="62"/>
      <c r="N12" s="62">
        <f t="shared" si="5"/>
        <v>3.4140000000000015</v>
      </c>
      <c r="O12">
        <f t="shared" si="6"/>
        <v>0.17403735231265816</v>
      </c>
      <c r="Q12">
        <f>N12-N10</f>
        <v>-0.68900000000000006</v>
      </c>
      <c r="S12">
        <f t="shared" si="7"/>
        <v>1.6121656629859351</v>
      </c>
      <c r="T12" t="s">
        <v>163</v>
      </c>
    </row>
    <row r="13" spans="1:20">
      <c r="A13" s="70"/>
      <c r="B13" s="8"/>
      <c r="C13" s="8"/>
      <c r="D13" s="8"/>
      <c r="E13" s="62"/>
      <c r="F13" s="8"/>
      <c r="G13" s="8"/>
      <c r="H13" s="8"/>
      <c r="I13" s="62"/>
      <c r="J13" s="62"/>
      <c r="K13" s="62"/>
      <c r="L13" s="62"/>
      <c r="M13" s="62"/>
      <c r="N13" s="62"/>
    </row>
    <row r="14" spans="1:20">
      <c r="A14" s="70">
        <v>3</v>
      </c>
      <c r="B14" s="62"/>
      <c r="C14" s="62"/>
      <c r="D14" s="62"/>
      <c r="E14" s="62"/>
      <c r="F14" s="62"/>
      <c r="G14" s="63"/>
      <c r="H14" s="62"/>
      <c r="I14" s="62"/>
      <c r="J14" s="62"/>
      <c r="K14" s="62"/>
      <c r="L14" s="62"/>
      <c r="M14" s="62"/>
      <c r="N14" s="62"/>
    </row>
    <row r="15" spans="1:20">
      <c r="A15" s="21" t="s">
        <v>603</v>
      </c>
      <c r="B15" s="8">
        <v>24.353000000000002</v>
      </c>
      <c r="C15" s="8">
        <v>24.184000000000001</v>
      </c>
      <c r="D15" s="8">
        <v>24.395</v>
      </c>
      <c r="E15" s="62"/>
      <c r="F15" s="8">
        <v>19.527999999999999</v>
      </c>
      <c r="G15" s="8">
        <v>19.283999999999999</v>
      </c>
      <c r="H15" s="8">
        <v>19.244</v>
      </c>
      <c r="I15" s="62"/>
      <c r="J15" s="62">
        <f>B15-F15</f>
        <v>4.8250000000000028</v>
      </c>
      <c r="K15" s="62">
        <f>C15-G15</f>
        <v>4.9000000000000021</v>
      </c>
      <c r="L15" s="62">
        <f>D15-H15</f>
        <v>5.1509999999999998</v>
      </c>
      <c r="M15" s="62"/>
      <c r="N15" s="62">
        <f>AVERAGE(L15,J15)</f>
        <v>4.9880000000000013</v>
      </c>
      <c r="O15">
        <f>STDEV(J15,L15)</f>
        <v>0.23051681066681234</v>
      </c>
      <c r="Q15">
        <f>N15-N15</f>
        <v>0</v>
      </c>
      <c r="S15">
        <f>POWER(2,-Q15)</f>
        <v>1</v>
      </c>
      <c r="T15" t="s">
        <v>163</v>
      </c>
    </row>
    <row r="16" spans="1:20">
      <c r="A16" s="21" t="s">
        <v>604</v>
      </c>
      <c r="B16" s="8">
        <v>22.218</v>
      </c>
      <c r="C16" s="8">
        <v>22.332999999999998</v>
      </c>
      <c r="D16" s="8">
        <v>22.358000000000001</v>
      </c>
      <c r="E16" s="62"/>
      <c r="F16" s="8">
        <v>18.452000000000002</v>
      </c>
      <c r="G16" s="8">
        <v>18.385000000000002</v>
      </c>
      <c r="H16" s="8">
        <v>18.523</v>
      </c>
      <c r="I16" s="62"/>
      <c r="J16" s="62">
        <f t="shared" ref="J16:L17" si="8">B16-F16</f>
        <v>3.7659999999999982</v>
      </c>
      <c r="K16" s="62">
        <f t="shared" si="8"/>
        <v>3.9479999999999968</v>
      </c>
      <c r="L16" s="62">
        <f t="shared" si="8"/>
        <v>3.8350000000000009</v>
      </c>
      <c r="M16" s="62"/>
      <c r="N16" s="62">
        <f t="shared" ref="N16:N17" si="9">AVERAGE(J16:L16)</f>
        <v>3.8496666666666655</v>
      </c>
      <c r="O16">
        <f t="shared" ref="O16:O17" si="10">STDEV(J16:L16)</f>
        <v>9.1882170921964823E-2</v>
      </c>
      <c r="Q16">
        <f>N16-N15</f>
        <v>-1.1383333333333359</v>
      </c>
      <c r="S16">
        <f t="shared" ref="S16:S17" si="11">POWER(2,-Q16)</f>
        <v>2.2012657603661361</v>
      </c>
      <c r="T16" t="s">
        <v>164</v>
      </c>
    </row>
    <row r="17" spans="1:20">
      <c r="A17" s="21" t="s">
        <v>605</v>
      </c>
      <c r="B17" s="8">
        <v>21.748999999999999</v>
      </c>
      <c r="C17" s="8">
        <v>21.395</v>
      </c>
      <c r="D17" s="8">
        <v>21.919</v>
      </c>
      <c r="E17" s="62"/>
      <c r="F17" s="8">
        <v>17.082999999999998</v>
      </c>
      <c r="G17" s="8">
        <v>17.433</v>
      </c>
      <c r="H17" s="8">
        <v>17.248000000000001</v>
      </c>
      <c r="I17" s="62"/>
      <c r="J17" s="62">
        <f t="shared" si="8"/>
        <v>4.6660000000000004</v>
      </c>
      <c r="K17" s="62">
        <f t="shared" si="8"/>
        <v>3.9619999999999997</v>
      </c>
      <c r="L17" s="62">
        <f t="shared" si="8"/>
        <v>4.6709999999999994</v>
      </c>
      <c r="M17" s="62"/>
      <c r="N17" s="62">
        <f t="shared" si="9"/>
        <v>4.4329999999999998</v>
      </c>
      <c r="O17">
        <f t="shared" si="10"/>
        <v>0.40790562634021127</v>
      </c>
      <c r="Q17">
        <f>N17-N15</f>
        <v>-0.55500000000000149</v>
      </c>
      <c r="S17">
        <f t="shared" si="11"/>
        <v>1.4691686332783105</v>
      </c>
      <c r="T17" t="s">
        <v>163</v>
      </c>
    </row>
    <row r="18" spans="1:20">
      <c r="A18" s="70"/>
      <c r="B18" s="8"/>
      <c r="C18" s="8"/>
      <c r="D18" s="8"/>
      <c r="E18" s="62"/>
      <c r="F18" s="8"/>
      <c r="G18" s="8"/>
      <c r="H18" s="8"/>
      <c r="I18" s="62"/>
      <c r="J18" s="62"/>
      <c r="K18" s="62"/>
      <c r="L18" s="62"/>
      <c r="M18" s="62"/>
      <c r="N18" s="62"/>
    </row>
    <row r="19" spans="1:20">
      <c r="A19" s="70"/>
      <c r="B19" s="62"/>
      <c r="C19" s="62"/>
      <c r="D19" s="62"/>
      <c r="E19" s="62"/>
      <c r="F19" s="63"/>
      <c r="G19" s="63"/>
      <c r="H19" s="62"/>
      <c r="I19" s="62"/>
      <c r="J19" s="62"/>
      <c r="K19" s="62"/>
      <c r="L19" s="62"/>
      <c r="M19" s="62"/>
      <c r="N19" s="62"/>
    </row>
    <row r="20" spans="1:20">
      <c r="A20" s="70">
        <v>12</v>
      </c>
      <c r="B20" s="8"/>
      <c r="C20" s="8"/>
      <c r="D20" s="8"/>
      <c r="E20" s="62"/>
      <c r="F20" s="8"/>
      <c r="G20" s="8"/>
      <c r="H20" s="8"/>
      <c r="I20" s="62"/>
      <c r="J20" s="62"/>
      <c r="K20" s="62"/>
      <c r="L20" s="62"/>
      <c r="M20" s="62"/>
      <c r="N20" s="62"/>
    </row>
    <row r="21" spans="1:20">
      <c r="A21" s="21" t="s">
        <v>603</v>
      </c>
      <c r="B21" s="8">
        <v>22.193999999999999</v>
      </c>
      <c r="C21" s="8">
        <v>22.544</v>
      </c>
      <c r="D21" s="8">
        <v>22.617999999999999</v>
      </c>
      <c r="E21" s="62"/>
      <c r="F21" s="8">
        <v>18.626999999999999</v>
      </c>
      <c r="G21" s="8">
        <v>18.337</v>
      </c>
      <c r="H21" s="8">
        <v>18.681999999999999</v>
      </c>
      <c r="I21" s="8"/>
      <c r="J21" s="8">
        <f>B21-F21</f>
        <v>3.5670000000000002</v>
      </c>
      <c r="K21">
        <f>C21-G21</f>
        <v>4.2070000000000007</v>
      </c>
      <c r="L21">
        <f>D21-H21</f>
        <v>3.9359999999999999</v>
      </c>
      <c r="N21">
        <f>AVERAGE(L21,J21)</f>
        <v>3.7515000000000001</v>
      </c>
      <c r="O21">
        <f>STDEV(J21,L21)</f>
        <v>0.26092240225783586</v>
      </c>
      <c r="Q21">
        <f>N21-N21</f>
        <v>0</v>
      </c>
      <c r="S21">
        <f>POWER(2,-Q21)</f>
        <v>1</v>
      </c>
      <c r="T21" t="s">
        <v>164</v>
      </c>
    </row>
    <row r="22" spans="1:20">
      <c r="A22" s="21" t="s">
        <v>604</v>
      </c>
      <c r="B22" s="8">
        <v>21.184999999999999</v>
      </c>
      <c r="C22" s="8">
        <v>21.184000000000001</v>
      </c>
      <c r="D22" s="8">
        <v>21.353000000000002</v>
      </c>
      <c r="E22" s="62"/>
      <c r="F22" s="8">
        <v>18.937999999999999</v>
      </c>
      <c r="G22" s="8">
        <v>18.638000000000002</v>
      </c>
      <c r="H22" s="8">
        <v>18.783000000000001</v>
      </c>
      <c r="I22" s="8"/>
      <c r="J22" s="8">
        <f t="shared" ref="J22:L23" si="12">B22-F22</f>
        <v>2.2469999999999999</v>
      </c>
      <c r="K22">
        <f t="shared" si="12"/>
        <v>2.5459999999999994</v>
      </c>
      <c r="L22">
        <f t="shared" si="12"/>
        <v>2.5700000000000003</v>
      </c>
      <c r="N22">
        <f t="shared" ref="N22:N23" si="13">AVERAGE(J22:L22)</f>
        <v>2.454333333333333</v>
      </c>
      <c r="O22">
        <f t="shared" ref="O22:O23" si="14">STDEV(J22:L22)</f>
        <v>0.17995647621948296</v>
      </c>
      <c r="Q22">
        <f>N22-N21</f>
        <v>-1.297166666666667</v>
      </c>
      <c r="S22">
        <f t="shared" ref="S22:S23" si="15">POWER(2,-Q22)</f>
        <v>2.4574578411557413</v>
      </c>
      <c r="T22" t="s">
        <v>35</v>
      </c>
    </row>
    <row r="23" spans="1:20">
      <c r="A23" s="21" t="s">
        <v>605</v>
      </c>
      <c r="B23" s="8">
        <v>21.748999999999999</v>
      </c>
      <c r="C23" s="8">
        <v>21.433</v>
      </c>
      <c r="D23" s="112">
        <v>21.382000000000001</v>
      </c>
      <c r="E23" s="62"/>
      <c r="F23" s="8">
        <v>18.138000000000002</v>
      </c>
      <c r="G23" s="8">
        <v>18.183</v>
      </c>
      <c r="H23" s="8">
        <v>18.283999999999999</v>
      </c>
      <c r="I23" s="8"/>
      <c r="J23" s="8">
        <f t="shared" si="12"/>
        <v>3.6109999999999971</v>
      </c>
      <c r="K23">
        <f t="shared" si="12"/>
        <v>3.25</v>
      </c>
      <c r="L23">
        <f t="shared" si="12"/>
        <v>3.0980000000000025</v>
      </c>
      <c r="N23">
        <f t="shared" si="13"/>
        <v>3.3196666666666665</v>
      </c>
      <c r="O23">
        <f t="shared" si="14"/>
        <v>0.26350015812771715</v>
      </c>
      <c r="Q23">
        <f>N23-N21</f>
        <v>-0.43183333333333351</v>
      </c>
      <c r="S23">
        <f t="shared" si="15"/>
        <v>1.3489466889055304</v>
      </c>
      <c r="T23" t="s">
        <v>163</v>
      </c>
    </row>
    <row r="24" spans="1:20">
      <c r="A24" s="70"/>
      <c r="B24" s="8"/>
      <c r="C24" s="8"/>
      <c r="D24" s="8"/>
      <c r="E24" s="62"/>
      <c r="F24" s="8"/>
      <c r="G24" s="8"/>
      <c r="H24" s="8"/>
      <c r="I24" s="8"/>
      <c r="J24" s="8"/>
    </row>
    <row r="25" spans="1:20">
      <c r="A25" s="21"/>
      <c r="B25" s="8"/>
      <c r="C25" s="8"/>
      <c r="D25" s="8"/>
      <c r="E25" s="8"/>
      <c r="F25" s="8"/>
      <c r="G25" s="8"/>
      <c r="H25" s="8"/>
      <c r="I25" s="8"/>
      <c r="J25" s="8"/>
    </row>
    <row r="26" spans="1:20">
      <c r="A26" s="21">
        <v>24</v>
      </c>
      <c r="B26" s="8"/>
      <c r="C26" s="8"/>
      <c r="D26" s="8"/>
      <c r="E26" s="8"/>
      <c r="F26" s="8"/>
      <c r="G26" s="8"/>
      <c r="H26" s="8"/>
      <c r="I26" s="8"/>
      <c r="J26" s="8"/>
    </row>
    <row r="27" spans="1:20">
      <c r="A27" s="21" t="s">
        <v>603</v>
      </c>
      <c r="B27" s="8">
        <v>22.193999999999999</v>
      </c>
      <c r="C27" s="8">
        <v>22.734000000000002</v>
      </c>
      <c r="D27" s="8">
        <v>22.853999999999999</v>
      </c>
      <c r="E27" s="62"/>
      <c r="F27" s="8">
        <v>18.736999999999998</v>
      </c>
      <c r="G27" s="8">
        <v>18.385000000000002</v>
      </c>
      <c r="H27" s="8">
        <v>18.672999999999998</v>
      </c>
      <c r="I27" s="62"/>
      <c r="J27" s="62">
        <f>B27-F27</f>
        <v>3.4570000000000007</v>
      </c>
      <c r="K27" s="62">
        <f>C27-G27</f>
        <v>4.3490000000000002</v>
      </c>
      <c r="L27" s="62">
        <f>D27-H27</f>
        <v>4.1810000000000009</v>
      </c>
      <c r="M27" s="62"/>
      <c r="N27" s="62">
        <f>AVERAGE(L27,J27)</f>
        <v>3.8190000000000008</v>
      </c>
      <c r="O27">
        <f>STDEV(J27,L27)</f>
        <v>0.51194530957906059</v>
      </c>
      <c r="Q27">
        <f>N27-N27</f>
        <v>0</v>
      </c>
      <c r="S27">
        <f>POWER(2,-Q27)</f>
        <v>1</v>
      </c>
      <c r="T27" t="s">
        <v>164</v>
      </c>
    </row>
    <row r="28" spans="1:20">
      <c r="A28" s="21" t="s">
        <v>604</v>
      </c>
      <c r="B28" s="8">
        <v>21.395</v>
      </c>
      <c r="C28" s="8">
        <v>21.292999999999999</v>
      </c>
      <c r="D28" s="8">
        <v>21.193999999999999</v>
      </c>
      <c r="E28" s="62"/>
      <c r="F28" s="8">
        <v>18.837</v>
      </c>
      <c r="G28" s="8">
        <v>18.738</v>
      </c>
      <c r="H28" s="8">
        <v>18.928000000000001</v>
      </c>
      <c r="I28" s="62"/>
      <c r="J28" s="62">
        <f t="shared" ref="J28:L29" si="16">B28-F28</f>
        <v>2.5579999999999998</v>
      </c>
      <c r="K28" s="62">
        <f t="shared" si="16"/>
        <v>2.5549999999999997</v>
      </c>
      <c r="L28" s="62">
        <f t="shared" si="16"/>
        <v>2.2659999999999982</v>
      </c>
      <c r="M28" s="62"/>
      <c r="N28" s="62">
        <f t="shared" ref="N28:N29" si="17">AVERAGE(J28:L28)</f>
        <v>2.4596666666666658</v>
      </c>
      <c r="O28">
        <f t="shared" ref="O28:O29" si="18">STDEV(J28:L28)</f>
        <v>0.16772696066325662</v>
      </c>
      <c r="Q28">
        <f>N28-N27</f>
        <v>-1.3593333333333351</v>
      </c>
      <c r="S28">
        <f t="shared" ref="S28:S29" si="19">POWER(2,-Q28)</f>
        <v>2.5656659317497272</v>
      </c>
      <c r="T28" t="s">
        <v>35</v>
      </c>
    </row>
    <row r="29" spans="1:20">
      <c r="A29" s="21" t="s">
        <v>605</v>
      </c>
      <c r="B29" s="8">
        <v>22.492999999999999</v>
      </c>
      <c r="C29" s="8">
        <v>22.163</v>
      </c>
      <c r="D29" s="8">
        <v>22.611000000000001</v>
      </c>
      <c r="E29" s="62"/>
      <c r="F29" s="8">
        <v>18.283000000000001</v>
      </c>
      <c r="G29" s="8">
        <v>18.358000000000001</v>
      </c>
      <c r="H29" s="8">
        <v>18.331</v>
      </c>
      <c r="I29" s="62"/>
      <c r="J29" s="62">
        <f t="shared" si="16"/>
        <v>4.2099999999999973</v>
      </c>
      <c r="K29" s="62">
        <f t="shared" si="16"/>
        <v>3.8049999999999997</v>
      </c>
      <c r="L29" s="62">
        <f t="shared" si="16"/>
        <v>4.2800000000000011</v>
      </c>
      <c r="M29" s="62"/>
      <c r="N29" s="62">
        <f t="shared" si="17"/>
        <v>4.0983333333333327</v>
      </c>
      <c r="O29">
        <f t="shared" si="18"/>
        <v>0.25643387711714949</v>
      </c>
      <c r="Q29">
        <f>N29-N27</f>
        <v>0.27933333333333188</v>
      </c>
      <c r="S29">
        <f t="shared" si="19"/>
        <v>0.82397168507477503</v>
      </c>
      <c r="T29" t="s">
        <v>163</v>
      </c>
    </row>
    <row r="30" spans="1:20">
      <c r="B30" s="8"/>
      <c r="C30" s="8"/>
      <c r="D30" s="8"/>
    </row>
    <row r="31" spans="1:20">
      <c r="B31" s="8"/>
      <c r="C31" s="8"/>
      <c r="D31" s="8"/>
    </row>
    <row r="32" spans="1:20">
      <c r="A32" s="1" t="s">
        <v>600</v>
      </c>
      <c r="B32" s="8"/>
      <c r="C32" s="8"/>
      <c r="D32" s="8"/>
    </row>
    <row r="33" spans="1:19">
      <c r="A33" s="21">
        <v>0</v>
      </c>
      <c r="B33" s="21" t="s">
        <v>187</v>
      </c>
      <c r="C33" s="21" t="s">
        <v>188</v>
      </c>
      <c r="D33" s="21" t="s">
        <v>189</v>
      </c>
      <c r="E33" s="21"/>
      <c r="F33" s="1" t="s">
        <v>190</v>
      </c>
      <c r="G33" s="1" t="s">
        <v>188</v>
      </c>
      <c r="H33" s="1" t="s">
        <v>189</v>
      </c>
      <c r="I33" s="1"/>
      <c r="J33" s="1"/>
    </row>
    <row r="34" spans="1:19">
      <c r="A34" s="21" t="s">
        <v>603</v>
      </c>
      <c r="B34" s="8">
        <v>22.683</v>
      </c>
      <c r="C34" s="8">
        <v>22.132999999999999</v>
      </c>
      <c r="D34" s="8">
        <v>22.538</v>
      </c>
      <c r="E34" s="62"/>
      <c r="F34" s="8">
        <v>18.727</v>
      </c>
      <c r="G34" s="8">
        <v>18.375</v>
      </c>
      <c r="H34" s="8">
        <v>18.446999999999999</v>
      </c>
      <c r="I34" s="8"/>
      <c r="J34" s="8">
        <f>B34-F34</f>
        <v>3.9559999999999995</v>
      </c>
      <c r="K34">
        <f>C34-G34</f>
        <v>3.7579999999999991</v>
      </c>
      <c r="L34">
        <f>D34-H34</f>
        <v>4.0910000000000011</v>
      </c>
      <c r="N34">
        <f>AVERAGE(L34,J34)</f>
        <v>4.0235000000000003</v>
      </c>
      <c r="O34">
        <f>STDEV(J34,L34)</f>
        <v>9.5459415460185021E-2</v>
      </c>
      <c r="Q34">
        <f>N34-N34</f>
        <v>0</v>
      </c>
      <c r="S34">
        <f>POWER(2,-Q34)</f>
        <v>1</v>
      </c>
    </row>
    <row r="35" spans="1:19">
      <c r="A35" s="21" t="s">
        <v>604</v>
      </c>
      <c r="B35" s="8">
        <v>21.193999999999999</v>
      </c>
      <c r="C35" s="8">
        <v>21.693000000000001</v>
      </c>
      <c r="D35" s="8">
        <v>21.638000000000002</v>
      </c>
      <c r="E35" s="62"/>
      <c r="F35" s="8">
        <v>17.611000000000001</v>
      </c>
      <c r="G35" s="8">
        <v>17.582000000000001</v>
      </c>
      <c r="H35" s="8">
        <v>17.257999999999999</v>
      </c>
      <c r="I35" s="8"/>
      <c r="J35" s="8">
        <f t="shared" ref="J35:L36" si="20">B35-F35</f>
        <v>3.5829999999999984</v>
      </c>
      <c r="K35">
        <f t="shared" si="20"/>
        <v>4.1110000000000007</v>
      </c>
      <c r="L35">
        <f t="shared" si="20"/>
        <v>4.3800000000000026</v>
      </c>
      <c r="N35">
        <f t="shared" ref="N35:N36" si="21">AVERAGE(J35:L35)</f>
        <v>4.0246666666666675</v>
      </c>
      <c r="O35">
        <f t="shared" ref="O35:O36" si="22">STDEV(J35:L35)</f>
        <v>0.40545324432458918</v>
      </c>
      <c r="Q35">
        <f>N35-N34</f>
        <v>1.1666666666672043E-3</v>
      </c>
      <c r="S35">
        <f t="shared" ref="S35:S36" si="23">POWER(2,-Q35)</f>
        <v>0.99919165517619346</v>
      </c>
    </row>
    <row r="36" spans="1:19">
      <c r="A36" s="21" t="s">
        <v>605</v>
      </c>
      <c r="B36" s="8">
        <v>22.148</v>
      </c>
      <c r="C36" s="8">
        <v>22.193999999999999</v>
      </c>
      <c r="D36" s="8">
        <v>22.286000000000001</v>
      </c>
      <c r="E36" s="62"/>
      <c r="F36" s="8">
        <v>16.283999999999999</v>
      </c>
      <c r="G36" s="8">
        <v>16.448</v>
      </c>
      <c r="H36" s="8">
        <v>16.184000000000001</v>
      </c>
      <c r="I36" s="8"/>
      <c r="J36" s="8">
        <f t="shared" si="20"/>
        <v>5.8640000000000008</v>
      </c>
      <c r="K36">
        <f t="shared" si="20"/>
        <v>5.7459999999999987</v>
      </c>
      <c r="L36">
        <f t="shared" si="20"/>
        <v>6.1020000000000003</v>
      </c>
      <c r="N36">
        <f t="shared" si="21"/>
        <v>5.9039999999999999</v>
      </c>
      <c r="O36">
        <f t="shared" si="22"/>
        <v>0.18133946068079126</v>
      </c>
      <c r="Q36">
        <f>N36-N34</f>
        <v>1.8804999999999996</v>
      </c>
      <c r="S36">
        <f t="shared" si="23"/>
        <v>0.27158957354529029</v>
      </c>
    </row>
    <row r="37" spans="1:19">
      <c r="A37" s="21"/>
      <c r="B37" s="8"/>
      <c r="C37" s="8"/>
      <c r="D37" s="8"/>
      <c r="E37" s="8"/>
      <c r="F37" s="8"/>
      <c r="G37" s="8"/>
      <c r="H37" s="8"/>
      <c r="I37" s="8"/>
      <c r="J37" s="8"/>
    </row>
    <row r="38" spans="1:19">
      <c r="A38" s="21">
        <v>1</v>
      </c>
      <c r="B38" s="8"/>
      <c r="C38" s="8"/>
      <c r="D38" s="8"/>
      <c r="E38" s="8"/>
      <c r="F38" s="8"/>
      <c r="G38" s="8"/>
      <c r="H38" s="8"/>
      <c r="I38" s="8"/>
      <c r="J38" s="8"/>
    </row>
    <row r="39" spans="1:19">
      <c r="A39" s="21" t="s">
        <v>603</v>
      </c>
      <c r="B39" s="8">
        <v>21.193999999999999</v>
      </c>
      <c r="C39" s="8">
        <v>21.119</v>
      </c>
      <c r="D39" s="8">
        <v>21.582000000000001</v>
      </c>
      <c r="E39" s="62"/>
      <c r="F39" s="8">
        <v>18.721</v>
      </c>
      <c r="G39" s="8">
        <v>18.475000000000001</v>
      </c>
      <c r="H39" s="8">
        <v>18.472999999999999</v>
      </c>
      <c r="I39" s="62"/>
      <c r="J39" s="62">
        <f>B39-F39</f>
        <v>2.472999999999999</v>
      </c>
      <c r="K39" s="62">
        <f>C39-G39</f>
        <v>2.6439999999999984</v>
      </c>
      <c r="L39" s="62">
        <f>D39-H39</f>
        <v>3.1090000000000018</v>
      </c>
      <c r="M39" s="62"/>
      <c r="N39" s="62">
        <f>AVERAGE(L39,J39)</f>
        <v>2.7910000000000004</v>
      </c>
      <c r="O39">
        <f>STDEV(J39,L39)</f>
        <v>0.44971991283464718</v>
      </c>
      <c r="Q39">
        <f>N39-N39</f>
        <v>0</v>
      </c>
      <c r="S39">
        <f>POWER(2,-Q39)</f>
        <v>1</v>
      </c>
    </row>
    <row r="40" spans="1:19">
      <c r="A40" s="21" t="s">
        <v>604</v>
      </c>
      <c r="B40" s="8">
        <v>22.381</v>
      </c>
      <c r="C40" s="8">
        <v>22.629000000000001</v>
      </c>
      <c r="D40" s="8">
        <v>22.449000000000002</v>
      </c>
      <c r="E40" s="62"/>
      <c r="F40" s="8">
        <v>17.274000000000001</v>
      </c>
      <c r="G40" s="8">
        <v>17.637</v>
      </c>
      <c r="H40" s="8">
        <v>17.754000000000001</v>
      </c>
      <c r="I40" s="62"/>
      <c r="J40" s="62">
        <f t="shared" ref="J40:L41" si="24">B40-F40</f>
        <v>5.1069999999999993</v>
      </c>
      <c r="K40" s="62">
        <f t="shared" si="24"/>
        <v>4.9920000000000009</v>
      </c>
      <c r="L40" s="62">
        <f t="shared" si="24"/>
        <v>4.6950000000000003</v>
      </c>
      <c r="M40" s="62"/>
      <c r="N40" s="62">
        <f t="shared" ref="N40:N41" si="25">AVERAGE(J40:L40)</f>
        <v>4.9313333333333338</v>
      </c>
      <c r="O40">
        <f t="shared" ref="O40:O41" si="26">STDEV(J40:L40)</f>
        <v>0.21259429280517669</v>
      </c>
      <c r="Q40">
        <f>N40-N39</f>
        <v>2.1403333333333334</v>
      </c>
      <c r="S40">
        <f t="shared" ref="S40:S41" si="27">POWER(2,-Q40)</f>
        <v>0.22682737452267718</v>
      </c>
    </row>
    <row r="41" spans="1:19">
      <c r="A41" s="21" t="s">
        <v>605</v>
      </c>
      <c r="B41" s="8">
        <v>22.184000000000001</v>
      </c>
      <c r="C41" s="8">
        <v>22.582000000000001</v>
      </c>
      <c r="D41" s="8">
        <v>22.283999999999999</v>
      </c>
      <c r="E41" s="62"/>
      <c r="F41" s="8">
        <v>18.727</v>
      </c>
      <c r="G41" s="8">
        <v>18.373999999999999</v>
      </c>
      <c r="H41" s="8">
        <v>18.734000000000002</v>
      </c>
      <c r="I41" s="62"/>
      <c r="J41" s="62">
        <f t="shared" si="24"/>
        <v>3.4570000000000007</v>
      </c>
      <c r="K41" s="62">
        <f t="shared" si="24"/>
        <v>4.208000000000002</v>
      </c>
      <c r="L41" s="62">
        <f t="shared" si="24"/>
        <v>3.5499999999999972</v>
      </c>
      <c r="M41" s="62"/>
      <c r="N41" s="62">
        <f t="shared" si="25"/>
        <v>3.7383333333333333</v>
      </c>
      <c r="O41">
        <f t="shared" si="26"/>
        <v>0.40939263956907501</v>
      </c>
      <c r="Q41">
        <f>N41-N39</f>
        <v>0.94733333333333292</v>
      </c>
      <c r="S41">
        <f t="shared" si="27"/>
        <v>0.51859013467637882</v>
      </c>
    </row>
    <row r="42" spans="1:19">
      <c r="A42" s="70"/>
      <c r="B42" s="8"/>
      <c r="C42" s="8"/>
      <c r="D42" s="8"/>
      <c r="E42" s="62"/>
      <c r="F42" s="8"/>
      <c r="G42" s="8"/>
      <c r="H42" s="8"/>
      <c r="I42" s="62"/>
      <c r="J42" s="62"/>
      <c r="K42" s="62"/>
      <c r="L42" s="62"/>
      <c r="M42" s="62"/>
      <c r="N42" s="62"/>
    </row>
    <row r="43" spans="1:19">
      <c r="A43" s="70">
        <v>3</v>
      </c>
      <c r="B43" s="62"/>
      <c r="C43" s="62"/>
      <c r="D43" s="62"/>
      <c r="E43" s="62"/>
      <c r="F43" s="62"/>
      <c r="G43" s="63"/>
      <c r="H43" s="62"/>
      <c r="I43" s="62"/>
      <c r="J43" s="62"/>
      <c r="K43" s="62"/>
      <c r="L43" s="62"/>
      <c r="M43" s="62"/>
      <c r="N43" s="62"/>
    </row>
    <row r="44" spans="1:19">
      <c r="A44" s="21" t="s">
        <v>603</v>
      </c>
      <c r="B44" s="8">
        <v>22.14</v>
      </c>
      <c r="C44" s="8">
        <v>22.388000000000002</v>
      </c>
      <c r="D44" s="8">
        <v>22.728400000000001</v>
      </c>
      <c r="E44" s="62"/>
      <c r="F44" s="8">
        <v>18.727</v>
      </c>
      <c r="G44" s="8">
        <v>18.576000000000001</v>
      </c>
      <c r="H44" s="8">
        <v>18.393999999999998</v>
      </c>
      <c r="I44" s="62"/>
      <c r="J44" s="62">
        <f>B44-F44</f>
        <v>3.4130000000000003</v>
      </c>
      <c r="K44" s="62">
        <f>C44-G44</f>
        <v>3.8120000000000012</v>
      </c>
      <c r="L44" s="62">
        <f>D44-H44</f>
        <v>4.3344000000000023</v>
      </c>
      <c r="M44" s="62"/>
      <c r="N44" s="62">
        <f>AVERAGE(L44,J44)</f>
        <v>3.8737000000000013</v>
      </c>
      <c r="O44">
        <f>STDEV(J44,L44)</f>
        <v>0.65152818818528724</v>
      </c>
      <c r="Q44">
        <f>N44-N44</f>
        <v>0</v>
      </c>
      <c r="S44">
        <f>POWER(2,-Q44)</f>
        <v>1</v>
      </c>
    </row>
    <row r="45" spans="1:19">
      <c r="A45" s="21" t="s">
        <v>604</v>
      </c>
      <c r="B45" s="8">
        <v>21.518000000000001</v>
      </c>
      <c r="C45" s="8">
        <v>21.693000000000001</v>
      </c>
      <c r="D45" s="8">
        <v>21.385999999999999</v>
      </c>
      <c r="E45" s="62"/>
      <c r="F45" s="8">
        <v>17.370999999999999</v>
      </c>
      <c r="G45" s="8">
        <v>17.573</v>
      </c>
      <c r="H45" s="8">
        <v>17.727</v>
      </c>
      <c r="I45" s="62"/>
      <c r="J45" s="62">
        <f t="shared" ref="J45:L46" si="28">B45-F45</f>
        <v>4.147000000000002</v>
      </c>
      <c r="K45" s="62">
        <f t="shared" si="28"/>
        <v>4.120000000000001</v>
      </c>
      <c r="L45" s="62">
        <f t="shared" si="28"/>
        <v>3.6589999999999989</v>
      </c>
      <c r="M45" s="62"/>
      <c r="N45" s="62">
        <f t="shared" ref="N45:N46" si="29">AVERAGE(J45:L45)</f>
        <v>3.9753333333333338</v>
      </c>
      <c r="O45">
        <f t="shared" ref="O45:O46" si="30">STDEV(J45:L45)</f>
        <v>0.27428513144779498</v>
      </c>
      <c r="Q45">
        <f>N45-N44</f>
        <v>0.10163333333333258</v>
      </c>
      <c r="S45">
        <f t="shared" ref="S45:S46" si="31">POWER(2,-Q45)</f>
        <v>0.93197726492543642</v>
      </c>
    </row>
    <row r="46" spans="1:19">
      <c r="A46" s="21" t="s">
        <v>605</v>
      </c>
      <c r="B46" s="8">
        <v>22.683</v>
      </c>
      <c r="C46" s="8">
        <v>22.193999999999999</v>
      </c>
      <c r="D46" s="8">
        <v>22.619</v>
      </c>
      <c r="E46" s="62"/>
      <c r="F46" s="8">
        <v>18.618200000000002</v>
      </c>
      <c r="G46" s="8">
        <v>18.457000000000001</v>
      </c>
      <c r="H46" s="8">
        <v>18.227</v>
      </c>
      <c r="I46" s="62"/>
      <c r="J46" s="62">
        <f t="shared" si="28"/>
        <v>4.0647999999999982</v>
      </c>
      <c r="K46" s="62">
        <f t="shared" si="28"/>
        <v>3.7369999999999983</v>
      </c>
      <c r="L46" s="62">
        <f t="shared" si="28"/>
        <v>4.3919999999999995</v>
      </c>
      <c r="M46" s="62"/>
      <c r="N46" s="62">
        <f t="shared" si="29"/>
        <v>4.0645999999999987</v>
      </c>
      <c r="O46">
        <f t="shared" si="30"/>
        <v>0.32750004580152409</v>
      </c>
      <c r="Q46">
        <f>N46-N44</f>
        <v>0.19089999999999741</v>
      </c>
      <c r="S46">
        <f t="shared" si="31"/>
        <v>0.87605903674778263</v>
      </c>
    </row>
    <row r="47" spans="1:19">
      <c r="A47" s="70"/>
      <c r="B47" s="8"/>
      <c r="C47" s="8"/>
      <c r="D47" s="8"/>
      <c r="E47" s="62"/>
      <c r="F47" s="8"/>
      <c r="G47" s="8"/>
      <c r="H47" s="8"/>
      <c r="I47" s="62"/>
      <c r="J47" s="62"/>
      <c r="K47" s="62"/>
      <c r="L47" s="62"/>
      <c r="M47" s="62"/>
      <c r="N47" s="62"/>
    </row>
    <row r="48" spans="1:19">
      <c r="A48" s="70"/>
      <c r="B48" s="62"/>
      <c r="C48" s="62"/>
      <c r="D48" s="62"/>
      <c r="E48" s="62"/>
      <c r="F48" s="63"/>
      <c r="G48" s="63"/>
      <c r="H48" s="62"/>
      <c r="I48" s="62"/>
      <c r="J48" s="62"/>
      <c r="K48" s="62"/>
      <c r="L48" s="62"/>
      <c r="M48" s="62"/>
      <c r="N48" s="62"/>
    </row>
    <row r="49" spans="1:19">
      <c r="A49" s="70">
        <v>12</v>
      </c>
      <c r="B49" s="8"/>
      <c r="C49" s="8"/>
      <c r="D49" s="8"/>
      <c r="E49" s="62"/>
      <c r="F49" s="8"/>
      <c r="G49" s="8"/>
      <c r="H49" s="8"/>
      <c r="I49" s="62"/>
      <c r="J49" s="62"/>
      <c r="K49" s="62"/>
      <c r="L49" s="62"/>
      <c r="M49" s="62"/>
      <c r="N49" s="62"/>
    </row>
    <row r="50" spans="1:19">
      <c r="A50" s="21" t="s">
        <v>603</v>
      </c>
      <c r="B50" s="8">
        <v>21.193999999999999</v>
      </c>
      <c r="C50" s="8">
        <v>21.619</v>
      </c>
      <c r="D50" s="8">
        <v>21.143999999999998</v>
      </c>
      <c r="E50" s="62"/>
      <c r="F50" s="8">
        <v>16.385000000000002</v>
      </c>
      <c r="G50" s="8">
        <v>16.395</v>
      </c>
      <c r="H50" s="8">
        <v>16.228999999999999</v>
      </c>
      <c r="I50" s="8"/>
      <c r="J50" s="8">
        <f>B50-F50</f>
        <v>4.8089999999999975</v>
      </c>
      <c r="K50">
        <f>C50-G50</f>
        <v>5.2240000000000002</v>
      </c>
      <c r="L50">
        <f>D50-H50</f>
        <v>4.9149999999999991</v>
      </c>
      <c r="N50">
        <f>AVERAGE(L50,J50)</f>
        <v>4.8619999999999983</v>
      </c>
      <c r="O50">
        <f>STDEV(J50,L50)</f>
        <v>7.4953318805775201E-2</v>
      </c>
      <c r="Q50">
        <f>N50-N50</f>
        <v>0</v>
      </c>
      <c r="S50">
        <f>POWER(2,-Q50)</f>
        <v>1</v>
      </c>
    </row>
    <row r="51" spans="1:19">
      <c r="A51" s="21" t="s">
        <v>604</v>
      </c>
      <c r="B51" s="8">
        <v>22.417999999999999</v>
      </c>
      <c r="C51" s="8">
        <v>22.395</v>
      </c>
      <c r="D51" s="8">
        <v>22.783000000000001</v>
      </c>
      <c r="E51" s="62"/>
      <c r="F51" s="8">
        <v>16.792999999999999</v>
      </c>
      <c r="G51" s="8">
        <v>16.942</v>
      </c>
      <c r="H51" s="8">
        <v>16.395</v>
      </c>
      <c r="I51" s="8"/>
      <c r="J51" s="8">
        <f t="shared" ref="J51:L52" si="32">B51-F51</f>
        <v>5.625</v>
      </c>
      <c r="K51">
        <f t="shared" si="32"/>
        <v>5.4529999999999994</v>
      </c>
      <c r="L51">
        <f t="shared" si="32"/>
        <v>6.3880000000000017</v>
      </c>
      <c r="N51">
        <f t="shared" ref="N51:N52" si="33">AVERAGE(J51:L51)</f>
        <v>5.8220000000000001</v>
      </c>
      <c r="O51">
        <f t="shared" ref="O51:O52" si="34">STDEV(J51:L51)</f>
        <v>0.49765751275350117</v>
      </c>
      <c r="Q51">
        <f>N51-N50</f>
        <v>0.96000000000000174</v>
      </c>
      <c r="S51">
        <f t="shared" ref="S51:S52" si="35">POWER(2,-Q51)</f>
        <v>0.51405691332803261</v>
      </c>
    </row>
    <row r="52" spans="1:19">
      <c r="A52" s="21" t="s">
        <v>605</v>
      </c>
      <c r="B52" s="8">
        <v>23.591000000000001</v>
      </c>
      <c r="C52" s="8">
        <v>23.591000000000001</v>
      </c>
      <c r="D52" s="8">
        <v>23.195</v>
      </c>
      <c r="E52" s="62"/>
      <c r="F52" s="8">
        <v>17.693000000000001</v>
      </c>
      <c r="G52" s="8">
        <v>17.193999999999999</v>
      </c>
      <c r="H52" s="8">
        <v>17.834</v>
      </c>
      <c r="I52" s="8"/>
      <c r="J52" s="8">
        <f t="shared" si="32"/>
        <v>5.8979999999999997</v>
      </c>
      <c r="K52">
        <f t="shared" si="32"/>
        <v>6.397000000000002</v>
      </c>
      <c r="L52">
        <f t="shared" si="32"/>
        <v>5.3610000000000007</v>
      </c>
      <c r="N52">
        <f t="shared" si="33"/>
        <v>5.8853333333333344</v>
      </c>
      <c r="O52">
        <f t="shared" si="34"/>
        <v>0.51811613884662389</v>
      </c>
      <c r="Q52">
        <f>N52-N50</f>
        <v>1.0233333333333361</v>
      </c>
      <c r="S52">
        <f t="shared" si="35"/>
        <v>0.49197832675405517</v>
      </c>
    </row>
    <row r="53" spans="1:19">
      <c r="A53" s="70"/>
      <c r="B53" s="8"/>
      <c r="C53" s="8"/>
      <c r="D53" s="8"/>
      <c r="E53" s="62"/>
      <c r="F53" s="8"/>
      <c r="G53" s="8"/>
      <c r="H53" s="8"/>
      <c r="I53" s="8"/>
      <c r="J53" s="8"/>
    </row>
    <row r="54" spans="1:19">
      <c r="A54" s="21"/>
      <c r="B54" s="8"/>
      <c r="C54" s="8"/>
      <c r="D54" s="8"/>
      <c r="E54" s="8"/>
      <c r="F54" s="8"/>
      <c r="G54" s="8"/>
      <c r="H54" s="8"/>
      <c r="I54" s="8"/>
      <c r="J54" s="8"/>
    </row>
    <row r="55" spans="1:19">
      <c r="A55" s="21">
        <v>24</v>
      </c>
      <c r="B55" s="8"/>
      <c r="C55" s="8"/>
      <c r="D55" s="8"/>
      <c r="E55" s="8"/>
      <c r="F55" s="8"/>
      <c r="G55" s="8"/>
      <c r="H55" s="8"/>
      <c r="I55" s="8"/>
      <c r="J55" s="8"/>
    </row>
    <row r="56" spans="1:19">
      <c r="A56" s="21" t="s">
        <v>603</v>
      </c>
      <c r="B56" s="8">
        <v>22.195</v>
      </c>
      <c r="C56" s="8">
        <v>22.359000000000002</v>
      </c>
      <c r="D56" s="8">
        <v>22.550999999999998</v>
      </c>
      <c r="E56" s="62"/>
      <c r="F56" s="8">
        <v>17.693000000000001</v>
      </c>
      <c r="G56" s="8">
        <v>17.384</v>
      </c>
      <c r="H56" s="8">
        <v>17.593</v>
      </c>
      <c r="I56" s="62"/>
      <c r="J56" s="62">
        <f>B56-F56</f>
        <v>4.5019999999999989</v>
      </c>
      <c r="K56" s="62">
        <f>C56-G56</f>
        <v>4.9750000000000014</v>
      </c>
      <c r="L56" s="62">
        <f>D56-H56</f>
        <v>4.9579999999999984</v>
      </c>
      <c r="M56" s="62"/>
      <c r="N56" s="62">
        <f>AVERAGE(L56,J56)</f>
        <v>4.7299999999999986</v>
      </c>
      <c r="O56">
        <f>STDEV(J56,L56)</f>
        <v>0.32244069222106536</v>
      </c>
      <c r="Q56">
        <f>N56-N56</f>
        <v>0</v>
      </c>
      <c r="S56">
        <f>POWER(2,-Q56)</f>
        <v>1</v>
      </c>
    </row>
    <row r="57" spans="1:19">
      <c r="A57" s="21" t="s">
        <v>604</v>
      </c>
      <c r="B57" s="8">
        <v>21.384</v>
      </c>
      <c r="C57" s="8">
        <v>21.193999999999999</v>
      </c>
      <c r="D57" s="8">
        <v>21.582999999999998</v>
      </c>
      <c r="E57" s="62"/>
      <c r="F57" s="8">
        <v>16.792999999999999</v>
      </c>
      <c r="G57" s="8">
        <v>16.395</v>
      </c>
      <c r="H57" s="8">
        <v>16.783999999999999</v>
      </c>
      <c r="I57" s="62"/>
      <c r="J57" s="62">
        <f t="shared" ref="J57:L58" si="36">B57-F57</f>
        <v>4.5910000000000011</v>
      </c>
      <c r="K57" s="62">
        <f t="shared" si="36"/>
        <v>4.7989999999999995</v>
      </c>
      <c r="L57" s="62">
        <f t="shared" si="36"/>
        <v>4.7989999999999995</v>
      </c>
      <c r="M57" s="62"/>
      <c r="N57" s="62">
        <f t="shared" ref="N57:N58" si="37">AVERAGE(J57:L57)</f>
        <v>4.7296666666666667</v>
      </c>
      <c r="O57">
        <f t="shared" ref="O57:O58" si="38">STDEV(J57:L57)</f>
        <v>0.12008885599144123</v>
      </c>
      <c r="Q57">
        <f>N57-N56</f>
        <v>-3.3333333333196435E-4</v>
      </c>
      <c r="S57">
        <f t="shared" ref="S57:S58" si="39">POWER(2,-Q57)</f>
        <v>1.0002310757540755</v>
      </c>
    </row>
    <row r="58" spans="1:19">
      <c r="A58" s="21" t="s">
        <v>605</v>
      </c>
      <c r="B58" s="8">
        <v>23.591000000000001</v>
      </c>
      <c r="C58" s="8">
        <v>23.123999999999999</v>
      </c>
      <c r="D58" s="8">
        <v>23.591000000000001</v>
      </c>
      <c r="E58" s="62"/>
      <c r="F58" s="8">
        <v>17.963000000000001</v>
      </c>
      <c r="G58" s="8">
        <v>17.673999999999999</v>
      </c>
      <c r="H58" s="8">
        <v>17.585999999999999</v>
      </c>
      <c r="I58" s="62"/>
      <c r="J58" s="62">
        <f t="shared" si="36"/>
        <v>5.6280000000000001</v>
      </c>
      <c r="K58" s="62">
        <f t="shared" si="36"/>
        <v>5.4499999999999993</v>
      </c>
      <c r="L58" s="62">
        <f t="shared" si="36"/>
        <v>6.0050000000000026</v>
      </c>
      <c r="M58" s="62"/>
      <c r="N58" s="62">
        <f t="shared" si="37"/>
        <v>5.6943333333333337</v>
      </c>
      <c r="O58">
        <f t="shared" si="38"/>
        <v>0.28338372100975434</v>
      </c>
      <c r="Q58">
        <f>N58-N56</f>
        <v>0.96433333333333504</v>
      </c>
      <c r="S58">
        <f t="shared" si="39"/>
        <v>0.51251518911049687</v>
      </c>
    </row>
    <row r="59" spans="1:19">
      <c r="B59" s="8"/>
      <c r="C59" s="8"/>
      <c r="D59" s="8"/>
    </row>
    <row r="60" spans="1:19">
      <c r="B60" s="8"/>
      <c r="C60" s="8"/>
      <c r="D60" s="8"/>
    </row>
    <row r="61" spans="1:19">
      <c r="B61" s="8"/>
      <c r="C61" s="8"/>
      <c r="D61" s="8"/>
    </row>
    <row r="62" spans="1:19">
      <c r="B62" s="8"/>
      <c r="C62" s="8"/>
      <c r="D62" s="8"/>
    </row>
    <row r="63" spans="1:19">
      <c r="B63" s="8"/>
      <c r="C63" s="8"/>
      <c r="D63" s="8"/>
    </row>
    <row r="64" spans="1:19">
      <c r="B64" s="8"/>
      <c r="C64" s="8"/>
      <c r="D64" s="8"/>
    </row>
    <row r="65" spans="2:4">
      <c r="B65" s="8"/>
      <c r="C65" s="8"/>
      <c r="D65" s="8"/>
    </row>
    <row r="66" spans="2:4">
      <c r="B66" s="8"/>
      <c r="C66" s="8"/>
      <c r="D66" s="8"/>
    </row>
    <row r="67" spans="2:4">
      <c r="B67" s="8"/>
      <c r="C67" s="8"/>
      <c r="D67" s="8"/>
    </row>
    <row r="68" spans="2:4">
      <c r="B68" s="8"/>
      <c r="C68" s="8"/>
      <c r="D68" s="8"/>
    </row>
    <row r="69" spans="2:4">
      <c r="B69" s="8"/>
      <c r="C69" s="8"/>
      <c r="D69" s="8"/>
    </row>
    <row r="70" spans="2:4">
      <c r="B70" s="8"/>
      <c r="C70" s="8"/>
      <c r="D70" s="8"/>
    </row>
    <row r="71" spans="2:4">
      <c r="B71" s="8"/>
      <c r="C71" s="8"/>
      <c r="D71" s="8"/>
    </row>
    <row r="72" spans="2:4">
      <c r="B72" s="8"/>
      <c r="C72" s="8"/>
      <c r="D72" s="8"/>
    </row>
    <row r="73" spans="2:4">
      <c r="B73" s="8"/>
      <c r="C73" s="8"/>
      <c r="D73" s="8"/>
    </row>
    <row r="74" spans="2:4">
      <c r="B74" s="8"/>
      <c r="C74" s="8"/>
      <c r="D74" s="8"/>
    </row>
    <row r="75" spans="2:4">
      <c r="B75" s="8"/>
      <c r="C75" s="8"/>
      <c r="D75" s="8"/>
    </row>
    <row r="76" spans="2:4">
      <c r="B76" s="8"/>
      <c r="C76" s="8"/>
      <c r="D76" s="8"/>
    </row>
    <row r="77" spans="2:4">
      <c r="B77" s="8"/>
      <c r="C77" s="8"/>
      <c r="D77" s="8"/>
    </row>
    <row r="78" spans="2:4">
      <c r="B78" s="8"/>
      <c r="C78" s="8"/>
      <c r="D78" s="8"/>
    </row>
    <row r="79" spans="2:4">
      <c r="B79" s="8"/>
      <c r="C79" s="8"/>
      <c r="D79" s="8"/>
    </row>
    <row r="80" spans="2:4">
      <c r="B80" s="8"/>
      <c r="C80" s="8"/>
      <c r="D80" s="8"/>
    </row>
    <row r="81" spans="2:4">
      <c r="B81" s="8"/>
      <c r="C81" s="8"/>
      <c r="D81" s="8"/>
    </row>
    <row r="82" spans="2:4">
      <c r="B82" s="8"/>
      <c r="C82" s="8"/>
      <c r="D82" s="8"/>
    </row>
    <row r="83" spans="2:4">
      <c r="B83" s="8"/>
      <c r="C83" s="8"/>
      <c r="D83" s="8"/>
    </row>
    <row r="84" spans="2:4">
      <c r="B84" s="8"/>
      <c r="C84" s="8"/>
      <c r="D84" s="8"/>
    </row>
    <row r="85" spans="2:4">
      <c r="B85" s="8"/>
      <c r="C85" s="8"/>
      <c r="D85" s="8"/>
    </row>
    <row r="86" spans="2:4">
      <c r="B86" s="8"/>
      <c r="C86" s="8"/>
      <c r="D86" s="8"/>
    </row>
    <row r="87" spans="2:4">
      <c r="B87" s="8"/>
      <c r="C87" s="8"/>
      <c r="D87" s="8"/>
    </row>
    <row r="88" spans="2:4">
      <c r="B88" s="8"/>
      <c r="C88" s="8"/>
      <c r="D88" s="8"/>
    </row>
    <row r="89" spans="2:4">
      <c r="B89" s="8"/>
      <c r="C89" s="8"/>
      <c r="D89" s="8"/>
    </row>
    <row r="90" spans="2:4">
      <c r="B90" s="8"/>
      <c r="C90" s="8"/>
      <c r="D90" s="8"/>
    </row>
    <row r="91" spans="2:4">
      <c r="B91" s="8"/>
      <c r="C91" s="8"/>
      <c r="D91" s="8"/>
    </row>
    <row r="92" spans="2:4">
      <c r="B92" s="8"/>
      <c r="C92" s="8"/>
      <c r="D92" s="8"/>
    </row>
    <row r="93" spans="2:4">
      <c r="B93" s="8"/>
      <c r="C93" s="8"/>
      <c r="D93" s="8"/>
    </row>
    <row r="94" spans="2:4">
      <c r="B94" s="8"/>
      <c r="C94" s="8"/>
      <c r="D94" s="8"/>
    </row>
    <row r="95" spans="2:4">
      <c r="B95" s="8"/>
      <c r="C95" s="8"/>
      <c r="D95" s="8"/>
    </row>
    <row r="96" spans="2:4">
      <c r="B96" s="8"/>
      <c r="C96" s="8"/>
      <c r="D96" s="8"/>
    </row>
    <row r="97" spans="2:4">
      <c r="B97" s="8"/>
      <c r="C97" s="8"/>
      <c r="D97" s="8"/>
    </row>
    <row r="98" spans="2:4">
      <c r="B98" s="8"/>
      <c r="C98" s="8"/>
      <c r="D98" s="8"/>
    </row>
    <row r="99" spans="2:4">
      <c r="B99" s="8"/>
      <c r="C99" s="8"/>
      <c r="D99" s="8"/>
    </row>
    <row r="100" spans="2:4">
      <c r="B100" s="8"/>
      <c r="C100" s="8"/>
      <c r="D100" s="8"/>
    </row>
    <row r="101" spans="2:4">
      <c r="B101" s="8"/>
      <c r="C101" s="8"/>
      <c r="D101" s="8"/>
    </row>
    <row r="102" spans="2:4">
      <c r="B102" s="8"/>
      <c r="C102" s="8"/>
      <c r="D102" s="8"/>
    </row>
    <row r="103" spans="2:4">
      <c r="B103" s="8"/>
      <c r="C103" s="8"/>
      <c r="D103" s="8"/>
    </row>
    <row r="104" spans="2:4">
      <c r="B104" s="8"/>
      <c r="C104" s="8"/>
      <c r="D104" s="8"/>
    </row>
    <row r="105" spans="2:4">
      <c r="B105" s="8"/>
      <c r="C105" s="8"/>
      <c r="D105" s="8"/>
    </row>
    <row r="106" spans="2:4">
      <c r="B106" s="8"/>
      <c r="C106" s="8"/>
      <c r="D106" s="8"/>
    </row>
    <row r="107" spans="2:4">
      <c r="B107" s="8"/>
      <c r="C107" s="8"/>
      <c r="D107" s="8"/>
    </row>
    <row r="108" spans="2:4">
      <c r="B108" s="8"/>
      <c r="C108" s="8"/>
      <c r="D108" s="8"/>
    </row>
    <row r="109" spans="2:4">
      <c r="B109" s="8"/>
      <c r="C109" s="8"/>
      <c r="D109" s="8"/>
    </row>
    <row r="110" spans="2:4">
      <c r="B110" s="8"/>
      <c r="C110" s="8"/>
      <c r="D110" s="8"/>
    </row>
    <row r="111" spans="2:4">
      <c r="B111" s="8"/>
      <c r="C111" s="8"/>
      <c r="D111" s="8"/>
    </row>
    <row r="112" spans="2:4">
      <c r="B112" s="8"/>
      <c r="C112" s="8"/>
      <c r="D112" s="8"/>
    </row>
    <row r="113" spans="2:4">
      <c r="B113" s="8"/>
      <c r="C113" s="8"/>
      <c r="D113" s="8"/>
    </row>
    <row r="114" spans="2:4">
      <c r="B114" s="8"/>
      <c r="C114" s="8"/>
      <c r="D114" s="8"/>
    </row>
    <row r="115" spans="2:4">
      <c r="B115" s="8"/>
      <c r="C115" s="8"/>
      <c r="D115" s="8"/>
    </row>
    <row r="116" spans="2:4">
      <c r="B116" s="8"/>
      <c r="C116" s="8"/>
      <c r="D116" s="8"/>
    </row>
    <row r="117" spans="2:4">
      <c r="B117" s="8"/>
      <c r="C117" s="8"/>
      <c r="D117" s="8"/>
    </row>
    <row r="118" spans="2:4">
      <c r="B118" s="8"/>
      <c r="C118" s="8"/>
      <c r="D118" s="8"/>
    </row>
    <row r="119" spans="2:4">
      <c r="B119" s="8"/>
      <c r="C119" s="8"/>
      <c r="D119" s="8"/>
    </row>
    <row r="120" spans="2:4">
      <c r="B120" s="8"/>
      <c r="C120" s="8"/>
      <c r="D120" s="8"/>
    </row>
    <row r="121" spans="2:4">
      <c r="B121" s="8"/>
      <c r="C121" s="8"/>
      <c r="D121" s="8"/>
    </row>
    <row r="122" spans="2:4">
      <c r="B122" s="8"/>
      <c r="C122" s="8"/>
      <c r="D122" s="8"/>
    </row>
    <row r="123" spans="2:4">
      <c r="B123" s="8"/>
      <c r="C123" s="8"/>
      <c r="D123" s="8"/>
    </row>
    <row r="124" spans="2:4">
      <c r="B124" s="8"/>
      <c r="C124" s="8"/>
      <c r="D124" s="8"/>
    </row>
    <row r="125" spans="2:4">
      <c r="B125" s="8"/>
      <c r="C125" s="8"/>
      <c r="D125" s="8"/>
    </row>
    <row r="126" spans="2:4">
      <c r="B126" s="8"/>
      <c r="C126" s="8"/>
      <c r="D126" s="8"/>
    </row>
    <row r="127" spans="2:4">
      <c r="B127" s="8"/>
      <c r="C127" s="8"/>
      <c r="D127" s="8"/>
    </row>
    <row r="128" spans="2:4">
      <c r="B128" s="8"/>
      <c r="C128" s="8"/>
      <c r="D128" s="8"/>
    </row>
    <row r="129" spans="2:4">
      <c r="B129" s="8"/>
      <c r="C129" s="8"/>
      <c r="D129" s="8"/>
    </row>
    <row r="130" spans="2:4">
      <c r="B130" s="8"/>
      <c r="C130" s="8"/>
      <c r="D130" s="8"/>
    </row>
    <row r="131" spans="2:4">
      <c r="B131" s="8"/>
      <c r="C131" s="8"/>
      <c r="D131" s="8"/>
    </row>
    <row r="132" spans="2:4">
      <c r="B132" s="8"/>
      <c r="C132" s="8"/>
      <c r="D132" s="8"/>
    </row>
    <row r="133" spans="2:4">
      <c r="B133" s="8"/>
      <c r="C133" s="8"/>
      <c r="D133" s="8"/>
    </row>
    <row r="134" spans="2:4">
      <c r="B134" s="8"/>
      <c r="C134" s="8"/>
      <c r="D134" s="8"/>
    </row>
    <row r="135" spans="2:4">
      <c r="B135" s="8"/>
      <c r="C135" s="8"/>
      <c r="D135" s="8"/>
    </row>
    <row r="136" spans="2:4">
      <c r="B136" s="8"/>
      <c r="C136" s="8"/>
      <c r="D136" s="8"/>
    </row>
    <row r="137" spans="2:4">
      <c r="B137" s="8"/>
      <c r="C137" s="8"/>
      <c r="D137" s="8"/>
    </row>
    <row r="138" spans="2:4">
      <c r="B138" s="8"/>
      <c r="C138" s="8"/>
      <c r="D138" s="8"/>
    </row>
    <row r="139" spans="2:4">
      <c r="B139" s="8"/>
      <c r="C139" s="8"/>
      <c r="D139" s="8"/>
    </row>
    <row r="140" spans="2:4">
      <c r="B140" s="8"/>
      <c r="C140" s="8"/>
      <c r="D140" s="8"/>
    </row>
    <row r="141" spans="2:4">
      <c r="B141" s="8"/>
      <c r="C141" s="8"/>
      <c r="D141" s="8"/>
    </row>
    <row r="142" spans="2:4">
      <c r="B142" s="8"/>
      <c r="C142" s="8"/>
      <c r="D142" s="8"/>
    </row>
    <row r="143" spans="2:4">
      <c r="B143" s="8"/>
      <c r="C143" s="8"/>
      <c r="D143" s="8"/>
    </row>
    <row r="144" spans="2:4">
      <c r="B144" s="8"/>
      <c r="C144" s="8"/>
      <c r="D144" s="8"/>
    </row>
    <row r="145" spans="2:4">
      <c r="B145" s="8"/>
      <c r="C145" s="8"/>
      <c r="D145" s="8"/>
    </row>
    <row r="146" spans="2:4">
      <c r="B146" s="8"/>
      <c r="C146" s="8"/>
      <c r="D146" s="8"/>
    </row>
    <row r="147" spans="2:4">
      <c r="B147" s="8"/>
      <c r="C147" s="8"/>
      <c r="D147" s="8"/>
    </row>
    <row r="148" spans="2:4">
      <c r="B148" s="8"/>
      <c r="C148" s="8"/>
      <c r="D148" s="8"/>
    </row>
    <row r="149" spans="2:4">
      <c r="B149" s="8"/>
      <c r="C149" s="8"/>
      <c r="D149" s="8"/>
    </row>
    <row r="150" spans="2:4">
      <c r="B150" s="8"/>
      <c r="C150" s="8"/>
      <c r="D150" s="8"/>
    </row>
    <row r="151" spans="2:4">
      <c r="B151" s="8"/>
      <c r="C151" s="8"/>
      <c r="D151" s="8"/>
    </row>
    <row r="152" spans="2:4">
      <c r="B152" s="8"/>
      <c r="C152" s="8"/>
      <c r="D152" s="8"/>
    </row>
    <row r="153" spans="2:4">
      <c r="B153" s="8"/>
      <c r="C153" s="8"/>
      <c r="D153" s="8"/>
    </row>
  </sheetData>
  <mergeCells count="2">
    <mergeCell ref="B3:D3"/>
    <mergeCell ref="F3:H3"/>
  </mergeCell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workbookViewId="0">
      <selection activeCell="C12" sqref="C12"/>
    </sheetView>
  </sheetViews>
  <sheetFormatPr defaultRowHeight="15"/>
  <cols>
    <col min="2" max="2" width="14" customWidth="1"/>
    <col min="3" max="3" width="16.42578125" customWidth="1"/>
    <col min="6" max="6" width="8.5703125" customWidth="1"/>
    <col min="7" max="7" width="11.42578125" customWidth="1"/>
  </cols>
  <sheetData>
    <row r="1" spans="1:23">
      <c r="A1" s="1" t="s">
        <v>607</v>
      </c>
      <c r="B1" s="1"/>
      <c r="C1" s="1"/>
      <c r="D1" s="1"/>
    </row>
    <row r="2" spans="1:23">
      <c r="E2" s="131" t="s">
        <v>613</v>
      </c>
      <c r="F2" s="131"/>
      <c r="G2" s="131"/>
      <c r="H2" s="131"/>
      <c r="I2" s="131"/>
      <c r="J2" s="131"/>
      <c r="K2" s="131"/>
    </row>
    <row r="4" spans="1:23">
      <c r="E4" s="1" t="s">
        <v>608</v>
      </c>
      <c r="F4" s="169" t="s">
        <v>181</v>
      </c>
      <c r="G4" s="169"/>
      <c r="H4" s="169"/>
      <c r="I4" s="1"/>
      <c r="J4" s="169" t="s">
        <v>182</v>
      </c>
      <c r="K4" s="169"/>
      <c r="L4" s="169"/>
      <c r="M4" s="1"/>
      <c r="N4" s="45" t="s">
        <v>191</v>
      </c>
      <c r="O4" s="1"/>
      <c r="P4" s="1"/>
      <c r="Q4" s="1"/>
      <c r="R4" s="1" t="s">
        <v>609</v>
      </c>
      <c r="S4" s="1" t="s">
        <v>58</v>
      </c>
      <c r="T4" s="1"/>
      <c r="U4" s="1" t="s">
        <v>610</v>
      </c>
      <c r="V4" s="1"/>
      <c r="W4" s="1" t="s">
        <v>186</v>
      </c>
    </row>
    <row r="5" spans="1:23" ht="15.75">
      <c r="C5" s="41" t="s">
        <v>256</v>
      </c>
      <c r="D5" s="136" t="s">
        <v>204</v>
      </c>
      <c r="E5" s="41" t="s">
        <v>218</v>
      </c>
      <c r="F5" s="21" t="s">
        <v>187</v>
      </c>
      <c r="G5" s="21" t="s">
        <v>188</v>
      </c>
      <c r="H5" s="21" t="s">
        <v>189</v>
      </c>
      <c r="I5" s="21"/>
      <c r="J5" s="1" t="s">
        <v>190</v>
      </c>
      <c r="K5" s="1" t="s">
        <v>188</v>
      </c>
      <c r="L5" s="1" t="s">
        <v>189</v>
      </c>
    </row>
    <row r="6" spans="1:23" ht="15.75">
      <c r="C6" s="42" t="s">
        <v>220</v>
      </c>
      <c r="D6" s="42" t="s">
        <v>220</v>
      </c>
      <c r="E6" s="134" t="s">
        <v>220</v>
      </c>
      <c r="F6" s="8">
        <v>24.540600000000001</v>
      </c>
      <c r="G6" s="8">
        <v>24.104500000000002</v>
      </c>
      <c r="H6" s="8">
        <v>24.859000000000002</v>
      </c>
      <c r="I6" s="62"/>
      <c r="J6" s="8">
        <v>17.585999999999999</v>
      </c>
      <c r="K6" s="8">
        <v>17.295000000000002</v>
      </c>
      <c r="L6" s="8">
        <v>17.385000000000002</v>
      </c>
      <c r="M6" s="8"/>
      <c r="N6" s="8">
        <f>F6-J6</f>
        <v>6.9546000000000028</v>
      </c>
      <c r="O6" s="8">
        <f t="shared" ref="O6:P10" si="0">G6-K6</f>
        <v>6.8094999999999999</v>
      </c>
      <c r="P6" s="8">
        <f t="shared" si="0"/>
        <v>7.4740000000000002</v>
      </c>
      <c r="R6">
        <f>AVERAGE(P6,N6)</f>
        <v>7.2143000000000015</v>
      </c>
      <c r="S6">
        <f>STDEV(N6,P6)</f>
        <v>0.36727126214829098</v>
      </c>
      <c r="U6">
        <f>R6-R6</f>
        <v>0</v>
      </c>
      <c r="W6">
        <f>POWER(2,-U6)</f>
        <v>1</v>
      </c>
    </row>
    <row r="7" spans="1:23" ht="15.75">
      <c r="C7" s="42" t="s">
        <v>220</v>
      </c>
      <c r="D7" s="42" t="s">
        <v>220</v>
      </c>
      <c r="E7" s="134" t="s">
        <v>220</v>
      </c>
      <c r="F7" s="8">
        <v>21.495999999999999</v>
      </c>
      <c r="G7" s="8">
        <v>21.395</v>
      </c>
      <c r="H7" s="8">
        <v>21.119</v>
      </c>
      <c r="I7" s="62"/>
      <c r="J7" s="8">
        <v>17.391999999999999</v>
      </c>
      <c r="K7" s="8">
        <v>17.358000000000001</v>
      </c>
      <c r="L7" s="8">
        <v>17.628</v>
      </c>
      <c r="M7" s="8"/>
      <c r="N7" s="8">
        <f t="shared" ref="N7:N10" si="1">F7-J7</f>
        <v>4.1039999999999992</v>
      </c>
      <c r="O7" s="8">
        <f t="shared" si="0"/>
        <v>4.036999999999999</v>
      </c>
      <c r="P7" s="8">
        <f t="shared" si="0"/>
        <v>3.4909999999999997</v>
      </c>
      <c r="R7">
        <f t="shared" ref="R7:R10" si="2">AVERAGE(N7:P7)</f>
        <v>3.8773333333333326</v>
      </c>
      <c r="S7">
        <f t="shared" ref="S7:S10" si="3">STDEV(N7:P7)</f>
        <v>0.33624742873861968</v>
      </c>
      <c r="U7">
        <f>R7-R6</f>
        <v>-3.3369666666666689</v>
      </c>
      <c r="W7">
        <f t="shared" ref="W7:W10" si="4">POWER(2,-U7)</f>
        <v>10.104784621970204</v>
      </c>
    </row>
    <row r="8" spans="1:23" ht="15.75">
      <c r="C8" s="42" t="s">
        <v>221</v>
      </c>
      <c r="D8" s="42" t="s">
        <v>220</v>
      </c>
      <c r="E8" s="134" t="s">
        <v>220</v>
      </c>
      <c r="F8" s="8">
        <v>22.195</v>
      </c>
      <c r="G8" s="8">
        <v>22.692</v>
      </c>
      <c r="H8" s="8">
        <v>22.914000000000001</v>
      </c>
      <c r="I8" s="62"/>
      <c r="J8" s="8">
        <v>18.385000000000002</v>
      </c>
      <c r="K8" s="8">
        <v>18.285</v>
      </c>
      <c r="L8" s="8">
        <v>18.923999999999999</v>
      </c>
      <c r="M8" s="8"/>
      <c r="N8" s="8">
        <f t="shared" si="1"/>
        <v>3.8099999999999987</v>
      </c>
      <c r="O8" s="8">
        <f t="shared" si="0"/>
        <v>4.407</v>
      </c>
      <c r="P8" s="8">
        <f t="shared" si="0"/>
        <v>3.990000000000002</v>
      </c>
      <c r="R8">
        <f t="shared" si="2"/>
        <v>4.069</v>
      </c>
      <c r="S8">
        <f t="shared" si="3"/>
        <v>0.30624010188086109</v>
      </c>
      <c r="U8">
        <f>R8-R6</f>
        <v>-3.1453000000000015</v>
      </c>
      <c r="W8">
        <f t="shared" si="4"/>
        <v>8.8476848596295383</v>
      </c>
    </row>
    <row r="9" spans="1:23" ht="15.75">
      <c r="C9" s="42" t="s">
        <v>221</v>
      </c>
      <c r="D9" s="42" t="s">
        <v>220</v>
      </c>
      <c r="E9" s="134" t="s">
        <v>220</v>
      </c>
      <c r="F9" s="8">
        <v>22.591999999999999</v>
      </c>
      <c r="G9" s="8">
        <v>22.138999999999999</v>
      </c>
      <c r="H9" s="8">
        <v>22.692</v>
      </c>
      <c r="I9" s="62"/>
      <c r="J9" s="8">
        <v>19.626999999999999</v>
      </c>
      <c r="K9" s="8">
        <v>19.324000000000002</v>
      </c>
      <c r="L9" s="8">
        <v>19.373999999999999</v>
      </c>
      <c r="M9" s="62"/>
      <c r="N9" s="62">
        <f t="shared" si="1"/>
        <v>2.9649999999999999</v>
      </c>
      <c r="O9" s="62">
        <f t="shared" si="0"/>
        <v>2.8149999999999977</v>
      </c>
      <c r="P9" s="62">
        <f t="shared" si="0"/>
        <v>3.3180000000000014</v>
      </c>
      <c r="Q9" s="62"/>
      <c r="R9" s="62">
        <f t="shared" si="2"/>
        <v>3.0326666666666662</v>
      </c>
      <c r="S9">
        <f t="shared" si="3"/>
        <v>0.25823697127509498</v>
      </c>
      <c r="U9">
        <f>R9-R6</f>
        <v>-4.1816333333333358</v>
      </c>
      <c r="W9">
        <f t="shared" si="4"/>
        <v>18.146675123384259</v>
      </c>
    </row>
    <row r="10" spans="1:23" ht="15.75">
      <c r="C10" s="42" t="s">
        <v>220</v>
      </c>
      <c r="D10" s="42" t="s">
        <v>221</v>
      </c>
      <c r="E10" s="134" t="s">
        <v>220</v>
      </c>
      <c r="F10" s="8">
        <v>22.963999999999999</v>
      </c>
      <c r="G10" s="8">
        <v>22.105</v>
      </c>
      <c r="H10" s="8">
        <v>22.693000000000001</v>
      </c>
      <c r="I10" s="62"/>
      <c r="J10" s="8">
        <v>17.274000000000001</v>
      </c>
      <c r="K10" s="8">
        <v>17.628</v>
      </c>
      <c r="L10" s="8">
        <v>17.338000000000001</v>
      </c>
      <c r="M10" s="62"/>
      <c r="N10" s="62">
        <f t="shared" si="1"/>
        <v>5.6899999999999977</v>
      </c>
      <c r="O10" s="62">
        <f t="shared" si="0"/>
        <v>4.4770000000000003</v>
      </c>
      <c r="P10" s="62">
        <f t="shared" si="0"/>
        <v>5.3550000000000004</v>
      </c>
      <c r="Q10" s="62"/>
      <c r="R10" s="62">
        <f t="shared" si="2"/>
        <v>5.1739999999999995</v>
      </c>
      <c r="S10">
        <f t="shared" si="3"/>
        <v>0.62642876690011506</v>
      </c>
      <c r="U10">
        <f>R10-R6</f>
        <v>-2.040300000000002</v>
      </c>
      <c r="W10">
        <f t="shared" si="4"/>
        <v>4.1133105565835937</v>
      </c>
    </row>
    <row r="11" spans="1:23" ht="15.75">
      <c r="C11" s="42" t="s">
        <v>220</v>
      </c>
      <c r="D11" s="42" t="s">
        <v>221</v>
      </c>
      <c r="E11" s="134" t="s">
        <v>220</v>
      </c>
      <c r="F11" s="8">
        <v>22.895</v>
      </c>
      <c r="G11" s="8">
        <v>22.779</v>
      </c>
      <c r="H11" s="8">
        <v>22.155000000000001</v>
      </c>
      <c r="I11" s="62"/>
      <c r="J11" s="8">
        <v>19.712</v>
      </c>
      <c r="K11" s="8">
        <v>19.385999999999999</v>
      </c>
      <c r="L11" s="8">
        <v>19.137</v>
      </c>
      <c r="M11" s="62"/>
      <c r="N11" s="62">
        <f>F11-J11</f>
        <v>3.1829999999999998</v>
      </c>
      <c r="O11" s="62">
        <f>G11-K11</f>
        <v>3.3930000000000007</v>
      </c>
      <c r="P11" s="62">
        <f>H11-L11</f>
        <v>3.0180000000000007</v>
      </c>
      <c r="Q11" s="62"/>
      <c r="R11" s="62">
        <f>AVERAGE(P11,N11)</f>
        <v>3.1005000000000003</v>
      </c>
      <c r="S11">
        <f>STDEV(N11,P11)</f>
        <v>0.11667261889577973</v>
      </c>
      <c r="U11">
        <f>R11-R6</f>
        <v>-4.1138000000000012</v>
      </c>
      <c r="W11">
        <f>POWER(2,-U11)</f>
        <v>17.313194027714875</v>
      </c>
    </row>
    <row r="12" spans="1:23" ht="15.75">
      <c r="C12" s="42" t="s">
        <v>221</v>
      </c>
      <c r="D12" s="42" t="s">
        <v>221</v>
      </c>
      <c r="E12" s="134" t="s">
        <v>220</v>
      </c>
      <c r="F12" s="8">
        <v>22.204000000000001</v>
      </c>
      <c r="G12" s="8">
        <v>22.395</v>
      </c>
      <c r="H12" s="8">
        <v>22.681999999999999</v>
      </c>
      <c r="I12" s="62"/>
      <c r="J12" s="8">
        <v>18.727</v>
      </c>
      <c r="K12" s="8">
        <v>18.236999999999998</v>
      </c>
      <c r="L12" s="8">
        <v>18.224</v>
      </c>
      <c r="M12" s="62"/>
      <c r="N12" s="62">
        <f t="shared" ref="N12:P14" si="5">F12-J12</f>
        <v>3.4770000000000003</v>
      </c>
      <c r="O12" s="62">
        <f t="shared" si="5"/>
        <v>4.1580000000000013</v>
      </c>
      <c r="P12" s="62">
        <f t="shared" si="5"/>
        <v>4.4579999999999984</v>
      </c>
      <c r="Q12" s="62"/>
      <c r="R12" s="62">
        <f t="shared" ref="R12:R14" si="6">AVERAGE(N12:P12)</f>
        <v>4.0309999999999997</v>
      </c>
      <c r="S12">
        <f t="shared" ref="S12:S14" si="7">STDEV(N12:P12)</f>
        <v>0.50267981857242061</v>
      </c>
      <c r="U12">
        <f>R12-R6</f>
        <v>-3.1833000000000018</v>
      </c>
      <c r="W12">
        <f t="shared" ref="W12:W14" si="8">POWER(2,-U12)</f>
        <v>9.0838255492067681</v>
      </c>
    </row>
    <row r="13" spans="1:23" ht="15.75">
      <c r="C13" s="42" t="s">
        <v>221</v>
      </c>
      <c r="D13" s="42" t="s">
        <v>221</v>
      </c>
      <c r="E13" s="134" t="s">
        <v>220</v>
      </c>
      <c r="F13" s="8">
        <v>21.193999999999999</v>
      </c>
      <c r="G13" s="8">
        <v>21.396000000000001</v>
      </c>
      <c r="H13" s="8">
        <v>21.409600000000001</v>
      </c>
      <c r="I13" s="62"/>
      <c r="J13" s="8">
        <v>18.927</v>
      </c>
      <c r="K13" s="8">
        <v>18.227</v>
      </c>
      <c r="L13" s="8">
        <v>18.472000000000001</v>
      </c>
      <c r="M13" s="62"/>
      <c r="N13" s="62">
        <f>F13-J13</f>
        <v>2.2669999999999995</v>
      </c>
      <c r="O13" s="62">
        <f>G13-K13</f>
        <v>3.1690000000000005</v>
      </c>
      <c r="P13" s="62">
        <f>H13-L13</f>
        <v>2.9375999999999998</v>
      </c>
      <c r="Q13" s="62"/>
      <c r="R13" s="62">
        <f t="shared" si="6"/>
        <v>2.7911999999999999</v>
      </c>
      <c r="S13">
        <f t="shared" si="7"/>
        <v>0.4684823582590919</v>
      </c>
      <c r="U13">
        <f>R13-R6</f>
        <v>-4.4231000000000016</v>
      </c>
      <c r="W13">
        <f t="shared" si="8"/>
        <v>21.452888414663001</v>
      </c>
    </row>
    <row r="14" spans="1:23" ht="15.75">
      <c r="C14" s="42" t="s">
        <v>221</v>
      </c>
      <c r="D14" s="42" t="s">
        <v>221</v>
      </c>
      <c r="E14" s="135" t="s">
        <v>221</v>
      </c>
      <c r="F14" s="8">
        <v>22.692</v>
      </c>
      <c r="G14" s="8">
        <v>22.295000000000002</v>
      </c>
      <c r="H14" s="8">
        <v>22.864999999999998</v>
      </c>
      <c r="I14" s="62"/>
      <c r="J14" s="8">
        <v>18.622</v>
      </c>
      <c r="K14" s="8">
        <v>18.774999999999999</v>
      </c>
      <c r="L14" s="8">
        <v>18.484999999999999</v>
      </c>
      <c r="M14" s="62"/>
      <c r="N14" s="62">
        <f t="shared" ref="N14" si="9">F14-J14</f>
        <v>4.07</v>
      </c>
      <c r="O14" s="62">
        <f t="shared" si="5"/>
        <v>3.5200000000000031</v>
      </c>
      <c r="P14" s="62">
        <f t="shared" si="5"/>
        <v>4.379999999999999</v>
      </c>
      <c r="Q14" s="62"/>
      <c r="R14" s="62">
        <f t="shared" si="6"/>
        <v>3.9900000000000007</v>
      </c>
      <c r="S14">
        <f t="shared" si="7"/>
        <v>0.43554563480764924</v>
      </c>
      <c r="U14">
        <f>R14-R6</f>
        <v>-3.2243000000000008</v>
      </c>
      <c r="W14">
        <f t="shared" si="8"/>
        <v>9.3456823348699434</v>
      </c>
    </row>
    <row r="15" spans="1:23">
      <c r="F15" s="8"/>
      <c r="G15" s="8"/>
      <c r="H15" s="8"/>
      <c r="I15" s="62"/>
      <c r="J15" s="8"/>
      <c r="K15" s="8"/>
      <c r="L15" s="8"/>
      <c r="M15" s="62"/>
      <c r="N15" s="62"/>
      <c r="O15" s="62"/>
      <c r="P15" s="62"/>
      <c r="Q15" s="62"/>
      <c r="R15" s="62"/>
      <c r="S15" s="8"/>
      <c r="T15" s="8"/>
      <c r="U15" s="8"/>
      <c r="V15" s="8"/>
      <c r="W15" s="8"/>
    </row>
    <row r="16" spans="1:23">
      <c r="E16" s="21" t="s">
        <v>608</v>
      </c>
      <c r="F16" s="8"/>
      <c r="G16" s="8"/>
      <c r="H16" s="8"/>
      <c r="I16" s="62"/>
      <c r="J16" s="8"/>
      <c r="K16" s="8"/>
      <c r="L16" s="8"/>
      <c r="M16" s="62"/>
      <c r="N16" s="62"/>
      <c r="O16" s="62"/>
      <c r="P16" s="62"/>
      <c r="Q16" s="62"/>
      <c r="R16" s="62"/>
      <c r="S16" s="8"/>
      <c r="T16" s="8"/>
      <c r="U16" s="8"/>
      <c r="V16" s="8"/>
      <c r="W16" s="8"/>
    </row>
    <row r="17" spans="3:23" ht="15.75">
      <c r="C17" s="41" t="s">
        <v>256</v>
      </c>
      <c r="D17" s="136" t="s">
        <v>204</v>
      </c>
      <c r="E17" s="41" t="s">
        <v>218</v>
      </c>
      <c r="F17" s="21" t="s">
        <v>187</v>
      </c>
      <c r="G17" s="21" t="s">
        <v>188</v>
      </c>
      <c r="H17" s="21" t="s">
        <v>189</v>
      </c>
      <c r="I17" s="21"/>
      <c r="J17" s="1" t="s">
        <v>190</v>
      </c>
      <c r="K17" s="1" t="s">
        <v>188</v>
      </c>
      <c r="L17" s="1" t="s">
        <v>189</v>
      </c>
    </row>
    <row r="18" spans="3:23" ht="15.75">
      <c r="C18" s="42" t="s">
        <v>220</v>
      </c>
      <c r="D18" s="42" t="s">
        <v>220</v>
      </c>
      <c r="E18" s="134" t="s">
        <v>220</v>
      </c>
      <c r="F18" s="8">
        <v>23.995000000000001</v>
      </c>
      <c r="G18" s="8">
        <v>23.684000000000001</v>
      </c>
      <c r="H18" s="8">
        <v>23.614999999999998</v>
      </c>
      <c r="I18" s="62"/>
      <c r="J18" s="8">
        <v>18.722000000000001</v>
      </c>
      <c r="K18" s="8">
        <v>17.245000000000001</v>
      </c>
      <c r="L18" s="8">
        <v>17.335000000000001</v>
      </c>
      <c r="M18" s="8"/>
      <c r="N18" s="8">
        <f>F18-J18</f>
        <v>5.2729999999999997</v>
      </c>
      <c r="O18">
        <f>G18-K18</f>
        <v>6.4390000000000001</v>
      </c>
      <c r="P18">
        <f>H18-L18</f>
        <v>6.2799999999999976</v>
      </c>
      <c r="R18">
        <f>AVERAGE(P18,N18)</f>
        <v>5.7764999999999986</v>
      </c>
      <c r="S18">
        <f>STDEV(N18,P18)</f>
        <v>0.71205652865485192</v>
      </c>
      <c r="U18">
        <f>R18-R18</f>
        <v>0</v>
      </c>
      <c r="W18">
        <f>POWER(2,-U18)</f>
        <v>1</v>
      </c>
    </row>
    <row r="19" spans="3:23" ht="15.75">
      <c r="C19" s="42" t="s">
        <v>220</v>
      </c>
      <c r="D19" s="42" t="s">
        <v>220</v>
      </c>
      <c r="E19" s="134" t="s">
        <v>220</v>
      </c>
      <c r="F19" s="8">
        <v>21.693000000000001</v>
      </c>
      <c r="G19" s="8">
        <v>21.690999999999999</v>
      </c>
      <c r="H19" s="8">
        <v>21.338999999999999</v>
      </c>
      <c r="I19" s="62"/>
      <c r="J19" s="8">
        <v>18.626999999999999</v>
      </c>
      <c r="K19" s="8">
        <v>18.68</v>
      </c>
      <c r="L19" s="8">
        <v>18.283999999999999</v>
      </c>
      <c r="M19" s="8"/>
      <c r="N19" s="8">
        <f t="shared" ref="N19:P22" si="10">F19-J19</f>
        <v>3.0660000000000025</v>
      </c>
      <c r="O19">
        <f t="shared" si="10"/>
        <v>3.0109999999999992</v>
      </c>
      <c r="P19">
        <f t="shared" si="10"/>
        <v>3.0549999999999997</v>
      </c>
      <c r="R19">
        <f t="shared" ref="R19:R22" si="11">AVERAGE(N19:P19)</f>
        <v>3.0440000000000005</v>
      </c>
      <c r="S19">
        <f t="shared" ref="S19:S22" si="12">STDEV(N19:P19)</f>
        <v>2.9103264421711822E-2</v>
      </c>
      <c r="U19">
        <f>R19-R18</f>
        <v>-2.7324999999999982</v>
      </c>
      <c r="W19">
        <f t="shared" ref="W19:W22" si="13">POWER(2,-U19)</f>
        <v>6.6460631435980213</v>
      </c>
    </row>
    <row r="20" spans="3:23" ht="15.75">
      <c r="C20" s="42" t="s">
        <v>221</v>
      </c>
      <c r="D20" s="42" t="s">
        <v>220</v>
      </c>
      <c r="E20" s="134" t="s">
        <v>220</v>
      </c>
      <c r="F20" s="8">
        <v>22.19</v>
      </c>
      <c r="G20" s="8">
        <v>22.559000000000001</v>
      </c>
      <c r="H20" s="8">
        <v>22.184999999999999</v>
      </c>
      <c r="I20" s="62"/>
      <c r="J20" s="8">
        <v>18.727</v>
      </c>
      <c r="K20" s="8">
        <v>18.675000000000001</v>
      </c>
      <c r="L20" s="8">
        <v>18.922999999999998</v>
      </c>
      <c r="M20" s="8"/>
      <c r="N20" s="8">
        <f t="shared" si="10"/>
        <v>3.463000000000001</v>
      </c>
      <c r="O20">
        <f t="shared" si="10"/>
        <v>3.8840000000000003</v>
      </c>
      <c r="P20">
        <f t="shared" si="10"/>
        <v>3.2620000000000005</v>
      </c>
      <c r="R20">
        <f t="shared" si="11"/>
        <v>3.5363333333333338</v>
      </c>
      <c r="S20">
        <f t="shared" si="12"/>
        <v>0.31741823094040023</v>
      </c>
      <c r="U20">
        <f>R20-R18</f>
        <v>-2.2401666666666649</v>
      </c>
      <c r="W20">
        <f t="shared" si="13"/>
        <v>4.7245164117312113</v>
      </c>
    </row>
    <row r="21" spans="3:23" ht="15.75">
      <c r="C21" s="42" t="s">
        <v>221</v>
      </c>
      <c r="D21" s="42" t="s">
        <v>220</v>
      </c>
      <c r="E21" s="134" t="s">
        <v>220</v>
      </c>
      <c r="F21" s="8">
        <v>21.681999999999999</v>
      </c>
      <c r="G21" s="8">
        <v>21.306000000000001</v>
      </c>
      <c r="H21" s="8">
        <v>21.634</v>
      </c>
      <c r="I21" s="62"/>
      <c r="J21" s="8">
        <v>19.524000000000001</v>
      </c>
      <c r="K21" s="8">
        <v>19.227</v>
      </c>
      <c r="L21" s="8">
        <v>19.234000000000002</v>
      </c>
      <c r="M21" s="62"/>
      <c r="N21" s="62">
        <f t="shared" si="10"/>
        <v>2.1579999999999977</v>
      </c>
      <c r="O21" s="62">
        <f t="shared" si="10"/>
        <v>2.0790000000000006</v>
      </c>
      <c r="P21" s="62">
        <f t="shared" si="10"/>
        <v>2.3999999999999986</v>
      </c>
      <c r="Q21" s="62"/>
      <c r="R21" s="62">
        <f t="shared" si="11"/>
        <v>2.2123333333333322</v>
      </c>
      <c r="S21">
        <f t="shared" si="12"/>
        <v>0.167255293887318</v>
      </c>
      <c r="U21">
        <f>R21-R18</f>
        <v>-3.5641666666666665</v>
      </c>
      <c r="W21">
        <f t="shared" si="13"/>
        <v>11.828265826115627</v>
      </c>
    </row>
    <row r="22" spans="3:23" ht="15.75">
      <c r="C22" s="42" t="s">
        <v>220</v>
      </c>
      <c r="D22" s="42" t="s">
        <v>221</v>
      </c>
      <c r="E22" s="134" t="s">
        <v>220</v>
      </c>
      <c r="F22" s="8">
        <v>21.395</v>
      </c>
      <c r="G22" s="8">
        <v>21.963999999999999</v>
      </c>
      <c r="H22" s="8">
        <v>21.395</v>
      </c>
      <c r="I22" s="62"/>
      <c r="J22" s="8">
        <v>17.672999999999998</v>
      </c>
      <c r="K22" s="8">
        <v>17.253</v>
      </c>
      <c r="L22" s="8">
        <v>17.242999999999999</v>
      </c>
      <c r="M22" s="62"/>
      <c r="N22" s="62">
        <f t="shared" si="10"/>
        <v>3.7220000000000013</v>
      </c>
      <c r="O22" s="62">
        <f t="shared" si="10"/>
        <v>4.7109999999999985</v>
      </c>
      <c r="P22" s="62">
        <f t="shared" si="10"/>
        <v>4.152000000000001</v>
      </c>
      <c r="Q22" s="62"/>
      <c r="R22" s="62">
        <f t="shared" si="11"/>
        <v>4.1950000000000003</v>
      </c>
      <c r="S22">
        <f t="shared" si="12"/>
        <v>0.49590019157084281</v>
      </c>
      <c r="U22">
        <f>R22-R18</f>
        <v>-1.5814999999999984</v>
      </c>
      <c r="W22">
        <f t="shared" si="13"/>
        <v>2.9928085654170888</v>
      </c>
    </row>
    <row r="23" spans="3:23" ht="15.75">
      <c r="C23" s="42" t="s">
        <v>220</v>
      </c>
      <c r="D23" s="42" t="s">
        <v>221</v>
      </c>
      <c r="E23" s="134" t="s">
        <v>220</v>
      </c>
      <c r="F23" s="8">
        <v>21.792999999999999</v>
      </c>
      <c r="G23" s="8">
        <v>21.419</v>
      </c>
      <c r="H23" s="8">
        <v>21.693000000000001</v>
      </c>
      <c r="I23" s="62"/>
      <c r="J23" s="8">
        <v>19.672000000000001</v>
      </c>
      <c r="K23" s="8">
        <v>19.274000000000001</v>
      </c>
      <c r="L23" s="8">
        <v>19.622</v>
      </c>
      <c r="M23" s="62"/>
      <c r="N23" s="62">
        <f>F23-J23</f>
        <v>2.1209999999999987</v>
      </c>
      <c r="O23" s="62">
        <f>G23-K23</f>
        <v>2.1449999999999996</v>
      </c>
      <c r="P23" s="62">
        <f>H23-L23</f>
        <v>2.0710000000000015</v>
      </c>
      <c r="Q23" s="62"/>
      <c r="R23" s="62">
        <f>AVERAGE(P23,N23)</f>
        <v>2.0960000000000001</v>
      </c>
      <c r="S23">
        <f>STDEV(N23,P23)</f>
        <v>3.5355339059325371E-2</v>
      </c>
      <c r="U23">
        <f>R23-R18</f>
        <v>-3.6804999999999986</v>
      </c>
      <c r="W23">
        <f>POWER(2,-U23)</f>
        <v>12.82156088589241</v>
      </c>
    </row>
    <row r="24" spans="3:23" ht="15.75">
      <c r="C24" s="42" t="s">
        <v>221</v>
      </c>
      <c r="D24" s="42" t="s">
        <v>221</v>
      </c>
      <c r="E24" s="134" t="s">
        <v>220</v>
      </c>
      <c r="F24" s="8">
        <v>21.295000000000002</v>
      </c>
      <c r="G24" s="8">
        <v>21.683</v>
      </c>
      <c r="H24" s="8">
        <v>21.294</v>
      </c>
      <c r="I24" s="62"/>
      <c r="J24" s="8">
        <v>18.378</v>
      </c>
      <c r="K24" s="8">
        <v>18.285</v>
      </c>
      <c r="L24" s="8">
        <v>18.228000000000002</v>
      </c>
      <c r="M24" s="62"/>
      <c r="N24" s="62">
        <f t="shared" ref="N24:P26" si="14">F24-J24</f>
        <v>2.9170000000000016</v>
      </c>
      <c r="O24" s="62">
        <f t="shared" si="14"/>
        <v>3.3979999999999997</v>
      </c>
      <c r="P24" s="62">
        <f t="shared" si="14"/>
        <v>3.0659999999999989</v>
      </c>
      <c r="Q24" s="62"/>
      <c r="R24" s="62">
        <f t="shared" ref="R24:R26" si="15">AVERAGE(N24:P24)</f>
        <v>3.1270000000000002</v>
      </c>
      <c r="S24">
        <f t="shared" ref="S24:S26" si="16">STDEV(N24:P24)</f>
        <v>0.24623362889743483</v>
      </c>
      <c r="U24">
        <f>R24-R18</f>
        <v>-2.6494999999999984</v>
      </c>
      <c r="W24">
        <f t="shared" ref="W24:W26" si="17">POWER(2,-U24)</f>
        <v>6.2744978310647719</v>
      </c>
    </row>
    <row r="25" spans="3:23" ht="15.75">
      <c r="C25" s="42" t="s">
        <v>221</v>
      </c>
      <c r="D25" s="42" t="s">
        <v>221</v>
      </c>
      <c r="E25" s="134" t="s">
        <v>220</v>
      </c>
      <c r="F25" s="8">
        <v>21.190999999999999</v>
      </c>
      <c r="G25" s="8">
        <v>21.529</v>
      </c>
      <c r="H25" s="8">
        <v>21.283000000000001</v>
      </c>
      <c r="I25" s="62"/>
      <c r="J25" s="8">
        <v>19.611000000000001</v>
      </c>
      <c r="K25" s="8">
        <v>19.928000000000001</v>
      </c>
      <c r="L25" s="8">
        <v>19.283999999999999</v>
      </c>
      <c r="M25" s="62"/>
      <c r="N25" s="62">
        <f t="shared" si="14"/>
        <v>1.5799999999999983</v>
      </c>
      <c r="O25" s="62">
        <f t="shared" si="14"/>
        <v>1.6009999999999991</v>
      </c>
      <c r="P25" s="62">
        <f t="shared" si="14"/>
        <v>1.9990000000000023</v>
      </c>
      <c r="Q25" s="62"/>
      <c r="R25" s="62">
        <f t="shared" si="15"/>
        <v>1.7266666666666666</v>
      </c>
      <c r="S25">
        <f t="shared" si="16"/>
        <v>0.23608120071986766</v>
      </c>
      <c r="U25">
        <f>R25-R18</f>
        <v>-4.0498333333333321</v>
      </c>
      <c r="W25">
        <f t="shared" si="17"/>
        <v>16.562325316088664</v>
      </c>
    </row>
    <row r="26" spans="3:23" ht="15.75">
      <c r="C26" s="42" t="s">
        <v>221</v>
      </c>
      <c r="D26" s="42" t="s">
        <v>221</v>
      </c>
      <c r="E26" s="135" t="s">
        <v>221</v>
      </c>
      <c r="F26" s="8">
        <v>21.693000000000001</v>
      </c>
      <c r="G26" s="8">
        <v>21.318999999999999</v>
      </c>
      <c r="H26" s="8">
        <v>21.867000000000001</v>
      </c>
      <c r="I26" s="62"/>
      <c r="J26" s="8">
        <v>18.716999999999999</v>
      </c>
      <c r="K26" s="8">
        <v>18.173999999999999</v>
      </c>
      <c r="L26" s="8">
        <v>18.224</v>
      </c>
      <c r="M26" s="62"/>
      <c r="N26" s="62">
        <f t="shared" si="14"/>
        <v>2.9760000000000026</v>
      </c>
      <c r="O26" s="62">
        <f t="shared" si="14"/>
        <v>3.1449999999999996</v>
      </c>
      <c r="P26" s="62">
        <f t="shared" si="14"/>
        <v>3.6430000000000007</v>
      </c>
      <c r="Q26" s="62"/>
      <c r="R26" s="62">
        <f t="shared" si="15"/>
        <v>3.2546666666666675</v>
      </c>
      <c r="S26">
        <f t="shared" si="16"/>
        <v>0.34675976314061141</v>
      </c>
      <c r="U26">
        <f>R26-R18</f>
        <v>-2.5218333333333312</v>
      </c>
      <c r="W26">
        <f t="shared" si="17"/>
        <v>5.7431145335609299</v>
      </c>
    </row>
    <row r="27" spans="3:23"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</sheetData>
  <mergeCells count="2">
    <mergeCell ref="F4:H4"/>
    <mergeCell ref="J4:L4"/>
  </mergeCell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topLeftCell="A8" workbookViewId="0">
      <selection activeCell="J16" sqref="J16"/>
    </sheetView>
  </sheetViews>
  <sheetFormatPr defaultRowHeight="15"/>
  <sheetData>
    <row r="1" spans="1:23">
      <c r="A1" s="1" t="s">
        <v>611</v>
      </c>
    </row>
    <row r="2" spans="1:23">
      <c r="C2" s="169" t="s">
        <v>612</v>
      </c>
      <c r="D2" s="169"/>
      <c r="E2" s="169"/>
      <c r="F2" s="169"/>
      <c r="G2" s="169"/>
      <c r="H2" s="169"/>
      <c r="I2" s="169"/>
      <c r="J2" s="169"/>
      <c r="K2" s="169"/>
    </row>
    <row r="5" spans="1:23">
      <c r="E5" s="1" t="s">
        <v>614</v>
      </c>
    </row>
    <row r="6" spans="1:23" ht="15.75">
      <c r="C6" s="41" t="s">
        <v>256</v>
      </c>
      <c r="D6" s="136" t="s">
        <v>204</v>
      </c>
      <c r="E6" s="41" t="s">
        <v>218</v>
      </c>
      <c r="F6" s="21" t="s">
        <v>187</v>
      </c>
      <c r="G6" s="21" t="s">
        <v>188</v>
      </c>
      <c r="H6" s="21" t="s">
        <v>189</v>
      </c>
      <c r="I6" s="21"/>
      <c r="J6" s="1" t="s">
        <v>190</v>
      </c>
      <c r="K6" s="1" t="s">
        <v>188</v>
      </c>
      <c r="L6" s="1" t="s">
        <v>189</v>
      </c>
    </row>
    <row r="7" spans="1:23" ht="15.75">
      <c r="C7" s="42" t="s">
        <v>220</v>
      </c>
      <c r="D7" s="42" t="s">
        <v>220</v>
      </c>
      <c r="E7" s="134" t="s">
        <v>220</v>
      </c>
      <c r="F7" s="8">
        <v>22.395</v>
      </c>
      <c r="G7" s="8">
        <v>22.956</v>
      </c>
      <c r="H7" s="8">
        <v>22.164000000000001</v>
      </c>
      <c r="I7" s="62"/>
      <c r="J7" s="8">
        <v>17.827999999999999</v>
      </c>
      <c r="K7" s="8">
        <v>17.228000000000002</v>
      </c>
      <c r="L7" s="8">
        <v>17.824000000000002</v>
      </c>
      <c r="M7" s="8"/>
      <c r="N7" s="8">
        <f>F7-J7</f>
        <v>4.5670000000000002</v>
      </c>
      <c r="O7">
        <f>G7-K7</f>
        <v>5.727999999999998</v>
      </c>
      <c r="P7">
        <f>H7-L7</f>
        <v>4.34</v>
      </c>
      <c r="R7">
        <f>AVERAGE(P7,N7)</f>
        <v>4.4535</v>
      </c>
      <c r="S7">
        <f>STDEV(N7,P7)</f>
        <v>0.16051323932934652</v>
      </c>
      <c r="U7">
        <f>R7-R7</f>
        <v>0</v>
      </c>
      <c r="W7">
        <f>POWER(2,-U7)</f>
        <v>1</v>
      </c>
    </row>
    <row r="8" spans="1:23" ht="15.75">
      <c r="C8" s="42" t="s">
        <v>220</v>
      </c>
      <c r="D8" s="42" t="s">
        <v>220</v>
      </c>
      <c r="E8" s="134" t="s">
        <v>220</v>
      </c>
      <c r="F8" s="8">
        <v>23.756</v>
      </c>
      <c r="G8" s="8">
        <v>23.792000000000002</v>
      </c>
      <c r="H8" s="8">
        <v>23.11</v>
      </c>
      <c r="I8" s="62"/>
      <c r="J8" s="8">
        <v>18.266999999999999</v>
      </c>
      <c r="K8" s="8">
        <v>18.722999999999999</v>
      </c>
      <c r="L8" s="8">
        <v>18.227</v>
      </c>
      <c r="M8" s="8"/>
      <c r="N8" s="8">
        <f t="shared" ref="N8:P11" si="0">F8-J8</f>
        <v>5.4890000000000008</v>
      </c>
      <c r="O8">
        <f t="shared" si="0"/>
        <v>5.0690000000000026</v>
      </c>
      <c r="P8">
        <f t="shared" si="0"/>
        <v>4.8829999999999991</v>
      </c>
      <c r="R8">
        <f t="shared" ref="R8:R11" si="1">AVERAGE(N8:P8)</f>
        <v>5.1470000000000011</v>
      </c>
      <c r="S8">
        <f t="shared" ref="S8:S11" si="2">STDEV(N8:P8)</f>
        <v>0.31043839968663717</v>
      </c>
      <c r="U8">
        <f>R8-R7</f>
        <v>0.69350000000000112</v>
      </c>
      <c r="W8">
        <f t="shared" ref="W8:W11" si="3">POWER(2,-U8)</f>
        <v>0.61835189776590105</v>
      </c>
    </row>
    <row r="9" spans="1:23" ht="15.75">
      <c r="C9" s="42" t="s">
        <v>221</v>
      </c>
      <c r="D9" s="42" t="s">
        <v>220</v>
      </c>
      <c r="E9" s="134" t="s">
        <v>220</v>
      </c>
      <c r="F9" s="8">
        <v>22.603999999999999</v>
      </c>
      <c r="G9" s="8">
        <v>22.195</v>
      </c>
      <c r="H9" s="8">
        <v>22.632999999999999</v>
      </c>
      <c r="I9" s="62"/>
      <c r="J9" s="8">
        <v>17.556999999999999</v>
      </c>
      <c r="K9" s="8">
        <v>17.628</v>
      </c>
      <c r="L9" s="8">
        <v>17.257999999999999</v>
      </c>
      <c r="M9" s="8"/>
      <c r="N9" s="8">
        <f t="shared" si="0"/>
        <v>5.0470000000000006</v>
      </c>
      <c r="O9">
        <f t="shared" si="0"/>
        <v>4.5670000000000002</v>
      </c>
      <c r="P9">
        <f t="shared" si="0"/>
        <v>5.375</v>
      </c>
      <c r="R9">
        <f t="shared" si="1"/>
        <v>4.9963333333333333</v>
      </c>
      <c r="S9">
        <f t="shared" si="2"/>
        <v>0.40637585230096201</v>
      </c>
      <c r="U9">
        <f>R9-R7</f>
        <v>0.54283333333333328</v>
      </c>
      <c r="W9">
        <f t="shared" si="3"/>
        <v>0.68642150956950854</v>
      </c>
    </row>
    <row r="10" spans="1:23" ht="15.75">
      <c r="C10" s="42" t="s">
        <v>221</v>
      </c>
      <c r="D10" s="42" t="s">
        <v>220</v>
      </c>
      <c r="E10" s="134" t="s">
        <v>220</v>
      </c>
      <c r="F10" s="8">
        <v>21.952999999999999</v>
      </c>
      <c r="G10" s="8">
        <v>21.734999999999999</v>
      </c>
      <c r="H10" s="8">
        <v>21.393999999999998</v>
      </c>
      <c r="I10" s="62"/>
      <c r="J10" s="8">
        <v>17.622</v>
      </c>
      <c r="K10" s="8">
        <v>17.384</v>
      </c>
      <c r="L10" s="8">
        <v>17.626999999999999</v>
      </c>
      <c r="M10" s="62"/>
      <c r="N10" s="62">
        <f t="shared" si="0"/>
        <v>4.3309999999999995</v>
      </c>
      <c r="O10" s="62">
        <f t="shared" si="0"/>
        <v>4.3509999999999991</v>
      </c>
      <c r="P10" s="62">
        <f t="shared" si="0"/>
        <v>3.7669999999999995</v>
      </c>
      <c r="Q10" s="62"/>
      <c r="R10" s="62">
        <f t="shared" si="1"/>
        <v>4.1496666666666657</v>
      </c>
      <c r="S10">
        <f t="shared" si="2"/>
        <v>0.33154989569193544</v>
      </c>
      <c r="U10">
        <f>R10-R7</f>
        <v>-0.30383333333333429</v>
      </c>
      <c r="W10">
        <f t="shared" si="3"/>
        <v>1.2344199928663748</v>
      </c>
    </row>
    <row r="11" spans="1:23" ht="15.75">
      <c r="C11" s="42" t="s">
        <v>220</v>
      </c>
      <c r="D11" s="42" t="s">
        <v>221</v>
      </c>
      <c r="E11" s="134" t="s">
        <v>220</v>
      </c>
      <c r="F11" s="8">
        <v>22.305</v>
      </c>
      <c r="G11" s="8">
        <v>22.413</v>
      </c>
      <c r="H11" s="8">
        <v>22.963000000000001</v>
      </c>
      <c r="I11" s="62"/>
      <c r="J11" s="8">
        <v>18.722000000000001</v>
      </c>
      <c r="K11" s="8">
        <v>18.335000000000001</v>
      </c>
      <c r="L11" s="8">
        <v>18.613</v>
      </c>
      <c r="M11" s="62"/>
      <c r="N11" s="62">
        <f t="shared" si="0"/>
        <v>3.5829999999999984</v>
      </c>
      <c r="O11" s="62">
        <f t="shared" si="0"/>
        <v>4.0779999999999994</v>
      </c>
      <c r="P11" s="62">
        <f t="shared" si="0"/>
        <v>4.3500000000000014</v>
      </c>
      <c r="Q11" s="62"/>
      <c r="R11" s="62">
        <f t="shared" si="1"/>
        <v>4.0036666666666667</v>
      </c>
      <c r="S11">
        <f t="shared" si="2"/>
        <v>0.38886544373772075</v>
      </c>
      <c r="U11">
        <f>R11-R7</f>
        <v>-0.44983333333333331</v>
      </c>
      <c r="W11">
        <f t="shared" si="3"/>
        <v>1.3658824547108244</v>
      </c>
    </row>
    <row r="12" spans="1:23" ht="15.75">
      <c r="C12" s="42" t="s">
        <v>220</v>
      </c>
      <c r="D12" s="42" t="s">
        <v>221</v>
      </c>
      <c r="E12" s="134" t="s">
        <v>220</v>
      </c>
      <c r="F12" s="8">
        <v>21.462</v>
      </c>
      <c r="G12" s="8">
        <v>21.692</v>
      </c>
      <c r="H12" s="8">
        <v>21.105</v>
      </c>
      <c r="I12" s="62"/>
      <c r="J12" s="8">
        <v>18.920000000000002</v>
      </c>
      <c r="K12" s="8">
        <v>18.617000000000001</v>
      </c>
      <c r="L12" s="8">
        <v>18.724</v>
      </c>
      <c r="M12" s="62"/>
      <c r="N12" s="62">
        <f>F12-J12</f>
        <v>2.541999999999998</v>
      </c>
      <c r="O12" s="62">
        <f>G12-K12</f>
        <v>3.0749999999999993</v>
      </c>
      <c r="P12" s="62">
        <f>H12-L12</f>
        <v>2.3810000000000002</v>
      </c>
      <c r="Q12" s="62"/>
      <c r="R12" s="62">
        <f>AVERAGE(P12,N12)</f>
        <v>2.4614999999999991</v>
      </c>
      <c r="S12">
        <f>STDEV(N12,P12)</f>
        <v>0.11384419177103261</v>
      </c>
      <c r="U12">
        <f>R12-R7</f>
        <v>-1.9920000000000009</v>
      </c>
      <c r="W12">
        <f>POWER(2,-U12)</f>
        <v>3.9778806746928597</v>
      </c>
    </row>
    <row r="13" spans="1:23" ht="15.75">
      <c r="C13" s="42" t="s">
        <v>221</v>
      </c>
      <c r="D13" s="42" t="s">
        <v>221</v>
      </c>
      <c r="E13" s="134" t="s">
        <v>220</v>
      </c>
      <c r="F13" s="8">
        <v>22.611999999999998</v>
      </c>
      <c r="G13" s="8">
        <v>22.295999999999999</v>
      </c>
      <c r="H13" s="8">
        <v>22.582999999999998</v>
      </c>
      <c r="I13" s="62"/>
      <c r="J13" s="8">
        <v>19.338000000000001</v>
      </c>
      <c r="K13" s="8">
        <v>19.683</v>
      </c>
      <c r="L13" s="8">
        <v>19.248000000000001</v>
      </c>
      <c r="M13" s="62"/>
      <c r="N13" s="62">
        <f t="shared" ref="N13:P15" si="4">F13-J13</f>
        <v>3.2739999999999974</v>
      </c>
      <c r="O13" s="62">
        <f t="shared" si="4"/>
        <v>2.6129999999999995</v>
      </c>
      <c r="P13" s="62">
        <f t="shared" si="4"/>
        <v>3.3349999999999973</v>
      </c>
      <c r="Q13" s="62"/>
      <c r="R13" s="62">
        <f t="shared" ref="R13:R15" si="5">AVERAGE(N13:P13)</f>
        <v>3.0739999999999981</v>
      </c>
      <c r="S13">
        <f t="shared" ref="S13:S15" si="6">STDEV(N13:P13)</f>
        <v>0.40040104894967238</v>
      </c>
      <c r="U13">
        <f>R13-R7</f>
        <v>-1.3795000000000019</v>
      </c>
      <c r="W13">
        <f t="shared" ref="W13:W15" si="7">POWER(2,-U13)</f>
        <v>2.6017818457361748</v>
      </c>
    </row>
    <row r="14" spans="1:23" ht="15.75">
      <c r="C14" s="42" t="s">
        <v>221</v>
      </c>
      <c r="D14" s="42" t="s">
        <v>221</v>
      </c>
      <c r="E14" s="134" t="s">
        <v>220</v>
      </c>
      <c r="F14" s="8">
        <v>23.193999999999999</v>
      </c>
      <c r="G14" s="8">
        <v>23.792000000000002</v>
      </c>
      <c r="H14" s="8">
        <v>23.228999999999999</v>
      </c>
      <c r="I14" s="62"/>
      <c r="J14" s="8">
        <v>19.622</v>
      </c>
      <c r="K14" s="8">
        <v>19.486000000000001</v>
      </c>
      <c r="L14" s="8">
        <v>19.835000000000001</v>
      </c>
      <c r="M14" s="62"/>
      <c r="N14" s="62">
        <f t="shared" si="4"/>
        <v>3.5719999999999992</v>
      </c>
      <c r="O14" s="62">
        <f t="shared" si="4"/>
        <v>4.3060000000000009</v>
      </c>
      <c r="P14" s="62">
        <f t="shared" si="4"/>
        <v>3.3939999999999984</v>
      </c>
      <c r="Q14" s="62"/>
      <c r="R14" s="62">
        <f t="shared" si="5"/>
        <v>3.757333333333333</v>
      </c>
      <c r="S14">
        <f t="shared" si="6"/>
        <v>0.48342252050699441</v>
      </c>
      <c r="U14">
        <f>R14-R7</f>
        <v>-0.69616666666666704</v>
      </c>
      <c r="W14">
        <f t="shared" si="7"/>
        <v>1.6201941086160783</v>
      </c>
    </row>
    <row r="15" spans="1:23" ht="15.75">
      <c r="C15" s="42" t="s">
        <v>221</v>
      </c>
      <c r="D15" s="42" t="s">
        <v>221</v>
      </c>
      <c r="E15" s="135" t="s">
        <v>221</v>
      </c>
      <c r="F15" s="8">
        <v>22.692</v>
      </c>
      <c r="G15" s="8">
        <v>22.364000000000001</v>
      </c>
      <c r="H15" s="8">
        <v>22.638999999999999</v>
      </c>
      <c r="I15" s="62"/>
      <c r="J15" s="8">
        <v>17.375</v>
      </c>
      <c r="K15" s="8">
        <v>17.253</v>
      </c>
      <c r="L15" s="8">
        <v>17.113</v>
      </c>
      <c r="M15" s="62"/>
      <c r="N15" s="62">
        <f t="shared" si="4"/>
        <v>5.3170000000000002</v>
      </c>
      <c r="O15" s="62">
        <f t="shared" si="4"/>
        <v>5.1110000000000007</v>
      </c>
      <c r="P15" s="62">
        <f t="shared" si="4"/>
        <v>5.5259999999999998</v>
      </c>
      <c r="Q15" s="62"/>
      <c r="R15" s="62">
        <f t="shared" si="5"/>
        <v>5.3180000000000005</v>
      </c>
      <c r="S15">
        <f t="shared" si="6"/>
        <v>0.20750180722104522</v>
      </c>
      <c r="U15">
        <f>R15-R7</f>
        <v>0.86450000000000049</v>
      </c>
      <c r="W15">
        <f t="shared" si="7"/>
        <v>0.54923672485567687</v>
      </c>
    </row>
    <row r="17" spans="3:23">
      <c r="E17" s="21" t="s">
        <v>614</v>
      </c>
      <c r="F17" s="8"/>
      <c r="G17" s="8"/>
      <c r="H17" s="8"/>
      <c r="I17" s="62"/>
      <c r="J17" s="8"/>
      <c r="K17" s="8"/>
      <c r="L17" s="8"/>
      <c r="M17" s="62"/>
      <c r="N17" s="62"/>
      <c r="O17" s="62"/>
      <c r="P17" s="62"/>
      <c r="Q17" s="62"/>
      <c r="R17" s="62"/>
      <c r="S17" s="8"/>
      <c r="T17" s="8"/>
      <c r="U17" s="8"/>
      <c r="V17" s="8"/>
      <c r="W17" s="8"/>
    </row>
    <row r="18" spans="3:23" ht="15.75">
      <c r="C18" s="41" t="s">
        <v>256</v>
      </c>
      <c r="D18" s="136" t="s">
        <v>204</v>
      </c>
      <c r="E18" s="41" t="s">
        <v>218</v>
      </c>
      <c r="F18" s="8" t="s">
        <v>187</v>
      </c>
      <c r="G18" s="8" t="s">
        <v>188</v>
      </c>
      <c r="H18" s="8" t="s">
        <v>189</v>
      </c>
      <c r="I18" s="8"/>
      <c r="J18" t="s">
        <v>190</v>
      </c>
      <c r="K18" t="s">
        <v>188</v>
      </c>
      <c r="L18" t="s">
        <v>189</v>
      </c>
    </row>
    <row r="19" spans="3:23" ht="15.75">
      <c r="C19" s="42" t="s">
        <v>220</v>
      </c>
      <c r="D19" s="42" t="s">
        <v>220</v>
      </c>
      <c r="E19" s="134" t="s">
        <v>220</v>
      </c>
      <c r="F19" s="8">
        <v>21.495000000000001</v>
      </c>
      <c r="G19" s="8">
        <v>21.204999999999998</v>
      </c>
      <c r="H19" s="8">
        <v>21.603000000000002</v>
      </c>
      <c r="I19" s="62"/>
      <c r="J19" s="8">
        <v>17.683</v>
      </c>
      <c r="K19" s="8">
        <v>17.273</v>
      </c>
      <c r="L19" s="8">
        <v>17.484999999999999</v>
      </c>
      <c r="M19" s="8"/>
      <c r="N19" s="8">
        <f>F19-J19</f>
        <v>3.8120000000000012</v>
      </c>
      <c r="O19">
        <f>G19-K19</f>
        <v>3.9319999999999986</v>
      </c>
      <c r="P19">
        <f>H19-L19</f>
        <v>4.1180000000000021</v>
      </c>
      <c r="R19">
        <f>AVERAGE(P19,N19)</f>
        <v>3.9650000000000016</v>
      </c>
      <c r="S19">
        <f>STDEV(N19,P19)</f>
        <v>0.21637467504308422</v>
      </c>
      <c r="U19">
        <f>R19-R19</f>
        <v>0</v>
      </c>
      <c r="W19">
        <f>POWER(2,-U19)</f>
        <v>1</v>
      </c>
    </row>
    <row r="20" spans="3:23" ht="15.75">
      <c r="C20" s="42" t="s">
        <v>220</v>
      </c>
      <c r="D20" s="42" t="s">
        <v>220</v>
      </c>
      <c r="E20" s="134" t="s">
        <v>220</v>
      </c>
      <c r="F20" s="8">
        <v>24.690999999999999</v>
      </c>
      <c r="G20" s="8">
        <v>24.318999999999999</v>
      </c>
      <c r="H20" s="8">
        <v>24.956</v>
      </c>
      <c r="I20" s="62"/>
      <c r="J20" s="8">
        <v>18.722999999999999</v>
      </c>
      <c r="K20" s="8">
        <v>18.661999999999999</v>
      </c>
      <c r="L20" s="8">
        <v>18.126999999999999</v>
      </c>
      <c r="M20" s="8"/>
      <c r="N20" s="8">
        <f t="shared" ref="N20:P23" si="8">F20-J20</f>
        <v>5.968</v>
      </c>
      <c r="O20">
        <f t="shared" si="8"/>
        <v>5.657</v>
      </c>
      <c r="P20">
        <f t="shared" si="8"/>
        <v>6.8290000000000006</v>
      </c>
      <c r="R20">
        <f t="shared" ref="R20:R23" si="9">AVERAGE(N20:P20)</f>
        <v>6.1513333333333335</v>
      </c>
      <c r="S20">
        <f t="shared" ref="S20:S23" si="10">STDEV(N20:P20)</f>
        <v>0.60712793819205335</v>
      </c>
      <c r="U20">
        <f>R20-R19</f>
        <v>2.1863333333333319</v>
      </c>
      <c r="W20">
        <f t="shared" ref="W20:W23" si="11">POWER(2,-U20)</f>
        <v>0.21970912077718588</v>
      </c>
    </row>
    <row r="21" spans="3:23" ht="15.75">
      <c r="C21" s="42" t="s">
        <v>221</v>
      </c>
      <c r="D21" s="42" t="s">
        <v>220</v>
      </c>
      <c r="E21" s="134" t="s">
        <v>220</v>
      </c>
      <c r="F21" s="8">
        <v>24.11</v>
      </c>
      <c r="G21" s="8">
        <v>24.789000000000001</v>
      </c>
      <c r="H21" s="8">
        <v>24.623000000000001</v>
      </c>
      <c r="I21" s="62"/>
      <c r="J21" s="8">
        <v>18.344000000000001</v>
      </c>
      <c r="K21" s="8">
        <v>18.137</v>
      </c>
      <c r="L21" s="8">
        <v>18.622</v>
      </c>
      <c r="M21" s="8"/>
      <c r="N21" s="8">
        <f t="shared" si="8"/>
        <v>5.7659999999999982</v>
      </c>
      <c r="O21">
        <f t="shared" si="8"/>
        <v>6.652000000000001</v>
      </c>
      <c r="P21">
        <f t="shared" si="8"/>
        <v>6.0010000000000012</v>
      </c>
      <c r="R21">
        <f t="shared" si="9"/>
        <v>6.1396666666666668</v>
      </c>
      <c r="S21">
        <f t="shared" si="10"/>
        <v>0.45898838039032575</v>
      </c>
      <c r="U21">
        <f>R21-R19</f>
        <v>2.1746666666666652</v>
      </c>
      <c r="W21">
        <f t="shared" si="11"/>
        <v>0.22149304962494368</v>
      </c>
    </row>
    <row r="22" spans="3:23" ht="15.75">
      <c r="C22" s="42" t="s">
        <v>221</v>
      </c>
      <c r="D22" s="42" t="s">
        <v>220</v>
      </c>
      <c r="E22" s="134" t="s">
        <v>220</v>
      </c>
      <c r="F22" s="8">
        <v>22.056000000000001</v>
      </c>
      <c r="G22" s="8">
        <v>22.701000000000001</v>
      </c>
      <c r="H22" s="8">
        <v>22.295000000000002</v>
      </c>
      <c r="I22" s="62"/>
      <c r="J22" s="8">
        <v>17.617000000000001</v>
      </c>
      <c r="K22" s="8">
        <v>17.274000000000001</v>
      </c>
      <c r="L22" s="8">
        <v>17.111999999999998</v>
      </c>
      <c r="M22" s="62"/>
      <c r="N22" s="62">
        <f t="shared" si="8"/>
        <v>4.4390000000000001</v>
      </c>
      <c r="O22" s="62">
        <f t="shared" si="8"/>
        <v>5.4269999999999996</v>
      </c>
      <c r="P22" s="62">
        <f t="shared" si="8"/>
        <v>5.1830000000000034</v>
      </c>
      <c r="Q22" s="62"/>
      <c r="R22" s="62">
        <f t="shared" si="9"/>
        <v>5.0163333333333346</v>
      </c>
      <c r="S22">
        <f t="shared" si="10"/>
        <v>0.5146545767146482</v>
      </c>
      <c r="U22">
        <f>R22-R19</f>
        <v>1.051333333333333</v>
      </c>
      <c r="W22">
        <f t="shared" si="11"/>
        <v>0.48252201329779726</v>
      </c>
    </row>
    <row r="23" spans="3:23" ht="15.75">
      <c r="C23" s="42" t="s">
        <v>220</v>
      </c>
      <c r="D23" s="42" t="s">
        <v>221</v>
      </c>
      <c r="E23" s="134" t="s">
        <v>220</v>
      </c>
      <c r="F23" s="8">
        <v>23.596</v>
      </c>
      <c r="G23" s="8">
        <v>23.448</v>
      </c>
      <c r="H23" s="8">
        <v>23.600999999999999</v>
      </c>
      <c r="I23" s="62"/>
      <c r="J23" s="8">
        <v>18.613</v>
      </c>
      <c r="K23" s="8">
        <v>18.734999999999999</v>
      </c>
      <c r="L23" s="8">
        <v>18.274000000000001</v>
      </c>
      <c r="M23" s="62"/>
      <c r="N23" s="62">
        <f t="shared" si="8"/>
        <v>4.9830000000000005</v>
      </c>
      <c r="O23" s="62">
        <f t="shared" si="8"/>
        <v>4.713000000000001</v>
      </c>
      <c r="P23" s="62">
        <f t="shared" si="8"/>
        <v>5.3269999999999982</v>
      </c>
      <c r="Q23" s="62"/>
      <c r="R23" s="62">
        <f t="shared" si="9"/>
        <v>5.0076666666666663</v>
      </c>
      <c r="S23">
        <f t="shared" si="10"/>
        <v>0.30774231644889599</v>
      </c>
      <c r="U23">
        <f>R23-R19</f>
        <v>1.0426666666666646</v>
      </c>
      <c r="W23">
        <f t="shared" si="11"/>
        <v>0.48542937993079133</v>
      </c>
    </row>
    <row r="24" spans="3:23" ht="15.75">
      <c r="C24" s="42" t="s">
        <v>220</v>
      </c>
      <c r="D24" s="42" t="s">
        <v>221</v>
      </c>
      <c r="E24" s="134" t="s">
        <v>220</v>
      </c>
      <c r="F24" s="8">
        <v>22.937999999999999</v>
      </c>
      <c r="G24" s="8">
        <v>22.417999999999999</v>
      </c>
      <c r="H24" s="8">
        <v>22.577999999999999</v>
      </c>
      <c r="I24" s="62"/>
      <c r="J24" s="8">
        <v>17.623000000000001</v>
      </c>
      <c r="K24" s="8">
        <v>17.611000000000001</v>
      </c>
      <c r="L24" s="8">
        <v>17.157</v>
      </c>
      <c r="M24" s="62"/>
      <c r="N24" s="62">
        <f>F24-J24</f>
        <v>5.3149999999999977</v>
      </c>
      <c r="O24" s="62">
        <f>G24-K24</f>
        <v>4.8069999999999986</v>
      </c>
      <c r="P24" s="62">
        <f>H24-L24</f>
        <v>5.4209999999999994</v>
      </c>
      <c r="Q24" s="62"/>
      <c r="R24" s="62">
        <f>AVERAGE(P24,N24)</f>
        <v>5.3679999999999986</v>
      </c>
      <c r="S24">
        <f>STDEV(N24,P24)</f>
        <v>7.4953318805775201E-2</v>
      </c>
      <c r="U24">
        <f>R24-R19</f>
        <v>1.4029999999999969</v>
      </c>
      <c r="W24">
        <f>POWER(2,-U24)</f>
        <v>0.3781419993209913</v>
      </c>
    </row>
    <row r="25" spans="3:23" ht="15.75">
      <c r="C25" s="42" t="s">
        <v>221</v>
      </c>
      <c r="D25" s="42" t="s">
        <v>221</v>
      </c>
      <c r="E25" s="134" t="s">
        <v>220</v>
      </c>
      <c r="F25" s="8">
        <v>21.481999999999999</v>
      </c>
      <c r="G25" s="8">
        <v>21.158000000000001</v>
      </c>
      <c r="H25" s="8">
        <v>21.558</v>
      </c>
      <c r="I25" s="62"/>
      <c r="J25" s="8">
        <v>16.782</v>
      </c>
      <c r="K25" s="8">
        <v>16.481999999999999</v>
      </c>
      <c r="L25" s="112">
        <v>16.283000000000001</v>
      </c>
      <c r="M25" s="62"/>
      <c r="N25" s="62">
        <f t="shared" ref="N25:P27" si="12">F25-J25</f>
        <v>4.6999999999999993</v>
      </c>
      <c r="O25" s="62">
        <f t="shared" si="12"/>
        <v>4.6760000000000019</v>
      </c>
      <c r="P25" s="62">
        <f t="shared" si="12"/>
        <v>5.2749999999999986</v>
      </c>
      <c r="Q25" s="62"/>
      <c r="R25" s="62">
        <f t="shared" ref="R25:R27" si="13">AVERAGE(N25:P25)</f>
        <v>4.8836666666666666</v>
      </c>
      <c r="S25">
        <f t="shared" ref="S25:S27" si="14">STDEV(N25:P25)</f>
        <v>0.33911699062909323</v>
      </c>
      <c r="U25">
        <f>R25-R19</f>
        <v>0.91866666666666497</v>
      </c>
      <c r="W25">
        <f t="shared" ref="W25:W27" si="15">POWER(2,-U25)</f>
        <v>0.52899769210998582</v>
      </c>
    </row>
    <row r="26" spans="3:23" ht="15.75">
      <c r="C26" s="42" t="s">
        <v>221</v>
      </c>
      <c r="D26" s="42" t="s">
        <v>221</v>
      </c>
      <c r="E26" s="134" t="s">
        <v>220</v>
      </c>
      <c r="F26" s="8">
        <v>22.693000000000001</v>
      </c>
      <c r="G26" s="8">
        <v>22.318999999999999</v>
      </c>
      <c r="H26" s="8">
        <v>22.943000000000001</v>
      </c>
      <c r="I26" s="62"/>
      <c r="J26" s="8">
        <v>17.373000000000001</v>
      </c>
      <c r="K26" s="8">
        <v>17.274000000000001</v>
      </c>
      <c r="L26" s="8">
        <v>17.533999999999999</v>
      </c>
      <c r="M26" s="62"/>
      <c r="N26" s="62">
        <f t="shared" si="12"/>
        <v>5.32</v>
      </c>
      <c r="O26" s="62">
        <f t="shared" si="12"/>
        <v>5.0449999999999982</v>
      </c>
      <c r="P26" s="62">
        <f t="shared" si="12"/>
        <v>5.4090000000000025</v>
      </c>
      <c r="Q26" s="62"/>
      <c r="R26" s="62">
        <f t="shared" si="13"/>
        <v>5.258</v>
      </c>
      <c r="S26">
        <f t="shared" si="14"/>
        <v>0.18975510533316564</v>
      </c>
      <c r="U26">
        <f>R26-R19</f>
        <v>1.2929999999999984</v>
      </c>
      <c r="W26">
        <f t="shared" si="15"/>
        <v>0.40810152307545128</v>
      </c>
    </row>
    <row r="27" spans="3:23" ht="15.75">
      <c r="C27" s="42" t="s">
        <v>221</v>
      </c>
      <c r="D27" s="42" t="s">
        <v>221</v>
      </c>
      <c r="E27" s="135" t="s">
        <v>221</v>
      </c>
      <c r="F27" s="8">
        <v>22.385000000000002</v>
      </c>
      <c r="G27" s="8">
        <v>22.184000000000001</v>
      </c>
      <c r="H27" s="8">
        <v>22.585999999999999</v>
      </c>
      <c r="I27" s="62"/>
      <c r="J27" s="8">
        <v>18.373000000000001</v>
      </c>
      <c r="K27" s="8">
        <v>18.672999999999998</v>
      </c>
      <c r="L27" s="8">
        <v>18.356999999999999</v>
      </c>
      <c r="M27" s="62"/>
      <c r="N27" s="62">
        <f t="shared" si="12"/>
        <v>4.0120000000000005</v>
      </c>
      <c r="O27" s="62">
        <f t="shared" si="12"/>
        <v>3.5110000000000028</v>
      </c>
      <c r="P27" s="62">
        <f t="shared" si="12"/>
        <v>4.2289999999999992</v>
      </c>
      <c r="Q27" s="62"/>
      <c r="R27" s="62">
        <f t="shared" si="13"/>
        <v>3.917333333333334</v>
      </c>
      <c r="S27">
        <f t="shared" si="14"/>
        <v>0.36824222100858017</v>
      </c>
      <c r="U27">
        <f>R27-R19</f>
        <v>-4.7666666666667634E-2</v>
      </c>
      <c r="W27">
        <f t="shared" si="15"/>
        <v>1.0335918982206762</v>
      </c>
    </row>
  </sheetData>
  <mergeCells count="1">
    <mergeCell ref="C2:K2"/>
  </mergeCell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5"/>
  <sheetViews>
    <sheetView topLeftCell="A3" workbookViewId="0">
      <selection activeCell="I17" sqref="I17:I18"/>
    </sheetView>
  </sheetViews>
  <sheetFormatPr defaultRowHeight="15"/>
  <cols>
    <col min="3" max="3" width="13" customWidth="1"/>
    <col min="4" max="4" width="13.140625" customWidth="1"/>
    <col min="6" max="6" width="16.28515625" customWidth="1"/>
    <col min="7" max="7" width="16.5703125" customWidth="1"/>
  </cols>
  <sheetData>
    <row r="2" spans="1:16">
      <c r="A2" s="1" t="s">
        <v>615</v>
      </c>
    </row>
    <row r="4" spans="1:16">
      <c r="C4" s="1" t="s">
        <v>256</v>
      </c>
      <c r="D4" s="137" t="s">
        <v>204</v>
      </c>
      <c r="E4" s="1" t="s">
        <v>218</v>
      </c>
      <c r="F4" s="97" t="s">
        <v>616</v>
      </c>
      <c r="G4" s="97"/>
      <c r="H4" s="1"/>
      <c r="I4" s="1" t="s">
        <v>385</v>
      </c>
      <c r="M4" s="119"/>
      <c r="N4" s="119"/>
      <c r="O4" s="119"/>
      <c r="P4" s="119"/>
    </row>
    <row r="5" spans="1:16" ht="18.75">
      <c r="C5" s="56" t="s">
        <v>220</v>
      </c>
      <c r="D5" s="56" t="s">
        <v>220</v>
      </c>
      <c r="E5" s="56" t="s">
        <v>220</v>
      </c>
      <c r="F5" s="43">
        <v>35</v>
      </c>
      <c r="G5" s="43">
        <v>35.700000000000003</v>
      </c>
      <c r="H5" s="47"/>
      <c r="I5" s="47">
        <f>AVERAGE(F5:G5)</f>
        <v>35.35</v>
      </c>
      <c r="M5" s="119"/>
      <c r="N5" s="119"/>
      <c r="O5" s="119"/>
      <c r="P5" s="119"/>
    </row>
    <row r="6" spans="1:16" ht="18.75">
      <c r="C6" s="56" t="s">
        <v>220</v>
      </c>
      <c r="D6" s="56" t="s">
        <v>220</v>
      </c>
      <c r="E6" s="56" t="s">
        <v>220</v>
      </c>
      <c r="F6" s="43">
        <v>20.5</v>
      </c>
      <c r="G6" s="43">
        <v>21.6</v>
      </c>
      <c r="H6" s="47"/>
      <c r="I6" s="47">
        <f t="shared" ref="I6:I15" si="0">AVERAGE(F6:G6)</f>
        <v>21.05</v>
      </c>
      <c r="M6" s="119"/>
      <c r="N6" s="119"/>
      <c r="O6" s="119"/>
      <c r="P6" s="119"/>
    </row>
    <row r="7" spans="1:16" ht="18.75">
      <c r="C7" s="56" t="s">
        <v>221</v>
      </c>
      <c r="D7" s="56" t="s">
        <v>220</v>
      </c>
      <c r="E7" s="56" t="s">
        <v>220</v>
      </c>
      <c r="F7" s="43">
        <v>29.4</v>
      </c>
      <c r="G7" s="43">
        <v>28.5</v>
      </c>
      <c r="H7" s="47"/>
      <c r="I7" s="47">
        <f t="shared" si="0"/>
        <v>28.95</v>
      </c>
      <c r="M7" s="119"/>
      <c r="N7" s="119"/>
      <c r="O7" s="119"/>
      <c r="P7" s="119"/>
    </row>
    <row r="8" spans="1:16" ht="18.75">
      <c r="C8" s="56" t="s">
        <v>221</v>
      </c>
      <c r="D8" s="56" t="s">
        <v>220</v>
      </c>
      <c r="E8" s="56" t="s">
        <v>220</v>
      </c>
      <c r="F8" s="43">
        <v>14.3</v>
      </c>
      <c r="G8" s="43">
        <v>16.2</v>
      </c>
      <c r="H8" s="47"/>
      <c r="I8" s="47">
        <f t="shared" si="0"/>
        <v>15.25</v>
      </c>
      <c r="M8" s="119"/>
      <c r="N8" s="119"/>
      <c r="O8" s="119"/>
      <c r="P8" s="119"/>
    </row>
    <row r="9" spans="1:16" ht="18.75">
      <c r="C9" s="56" t="s">
        <v>221</v>
      </c>
      <c r="D9" s="56" t="s">
        <v>220</v>
      </c>
      <c r="E9" s="56" t="s">
        <v>221</v>
      </c>
      <c r="F9" s="43">
        <v>23.6</v>
      </c>
      <c r="G9" s="43">
        <v>23.1</v>
      </c>
      <c r="H9" s="47"/>
      <c r="I9" s="47">
        <f t="shared" si="0"/>
        <v>23.35</v>
      </c>
      <c r="M9" s="119"/>
      <c r="N9" s="119"/>
      <c r="O9" s="119"/>
      <c r="P9" s="119"/>
    </row>
    <row r="10" spans="1:16" ht="18.75">
      <c r="C10" s="56" t="s">
        <v>220</v>
      </c>
      <c r="D10" s="56" t="s">
        <v>221</v>
      </c>
      <c r="E10" s="56" t="s">
        <v>220</v>
      </c>
      <c r="F10" s="43">
        <v>34.9</v>
      </c>
      <c r="G10" s="43">
        <v>33.700000000000003</v>
      </c>
      <c r="H10" s="47"/>
      <c r="I10" s="47">
        <f t="shared" si="0"/>
        <v>34.299999999999997</v>
      </c>
      <c r="M10" s="119"/>
      <c r="N10" s="119"/>
      <c r="O10" s="119"/>
      <c r="P10" s="119"/>
    </row>
    <row r="11" spans="1:16" ht="18.75">
      <c r="C11" s="56" t="s">
        <v>220</v>
      </c>
      <c r="D11" s="56" t="s">
        <v>221</v>
      </c>
      <c r="E11" s="56" t="s">
        <v>220</v>
      </c>
      <c r="F11" s="43">
        <v>14.3</v>
      </c>
      <c r="G11" s="43">
        <v>14.7</v>
      </c>
      <c r="H11" s="47"/>
      <c r="I11" s="47">
        <f t="shared" si="0"/>
        <v>14.5</v>
      </c>
    </row>
    <row r="12" spans="1:16" ht="18.75">
      <c r="C12" s="56" t="s">
        <v>220</v>
      </c>
      <c r="D12" s="56" t="s">
        <v>221</v>
      </c>
      <c r="E12" s="56" t="s">
        <v>221</v>
      </c>
      <c r="F12" s="43">
        <v>23.2</v>
      </c>
      <c r="G12" s="43">
        <v>25.9</v>
      </c>
      <c r="H12" s="47"/>
      <c r="I12" s="47">
        <f t="shared" si="0"/>
        <v>24.549999999999997</v>
      </c>
    </row>
    <row r="13" spans="1:16" ht="18.75">
      <c r="C13" s="56" t="s">
        <v>221</v>
      </c>
      <c r="D13" s="56" t="s">
        <v>221</v>
      </c>
      <c r="E13" s="56" t="s">
        <v>220</v>
      </c>
      <c r="F13" s="43">
        <v>26.1</v>
      </c>
      <c r="G13" s="43">
        <v>25.5</v>
      </c>
      <c r="H13" s="47"/>
      <c r="I13" s="47">
        <f t="shared" si="0"/>
        <v>25.8</v>
      </c>
    </row>
    <row r="14" spans="1:16" ht="18.75">
      <c r="C14" s="56" t="s">
        <v>221</v>
      </c>
      <c r="D14" s="56" t="s">
        <v>221</v>
      </c>
      <c r="E14" s="56" t="s">
        <v>220</v>
      </c>
      <c r="F14" s="43">
        <v>11.8</v>
      </c>
      <c r="G14" s="43">
        <v>10.5</v>
      </c>
      <c r="H14" s="47"/>
      <c r="I14" s="47">
        <f t="shared" si="0"/>
        <v>11.15</v>
      </c>
    </row>
    <row r="15" spans="1:16" ht="18.75">
      <c r="C15" s="56" t="s">
        <v>221</v>
      </c>
      <c r="D15" s="56" t="s">
        <v>221</v>
      </c>
      <c r="E15" s="56" t="s">
        <v>221</v>
      </c>
      <c r="F15" s="43">
        <v>21.4</v>
      </c>
      <c r="G15" s="43">
        <v>21</v>
      </c>
      <c r="H15" s="47"/>
      <c r="I15" s="47">
        <f t="shared" si="0"/>
        <v>21.2</v>
      </c>
    </row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6"/>
  <sheetViews>
    <sheetView topLeftCell="A3" workbookViewId="0">
      <selection activeCell="K18" sqref="K18"/>
    </sheetView>
  </sheetViews>
  <sheetFormatPr defaultRowHeight="15"/>
  <cols>
    <col min="3" max="3" width="13" customWidth="1"/>
    <col min="4" max="4" width="13.140625" customWidth="1"/>
    <col min="6" max="6" width="16.28515625" customWidth="1"/>
    <col min="7" max="7" width="16.5703125" customWidth="1"/>
  </cols>
  <sheetData>
    <row r="2" spans="1:16">
      <c r="A2" s="1" t="s">
        <v>617</v>
      </c>
    </row>
    <row r="4" spans="1:16">
      <c r="C4" s="1" t="s">
        <v>256</v>
      </c>
      <c r="D4" s="137" t="s">
        <v>204</v>
      </c>
      <c r="E4" s="1" t="s">
        <v>218</v>
      </c>
      <c r="F4" s="169" t="s">
        <v>618</v>
      </c>
      <c r="G4" s="169"/>
      <c r="H4" s="1"/>
      <c r="I4" s="1" t="s">
        <v>385</v>
      </c>
      <c r="M4" s="119"/>
      <c r="N4" s="119"/>
      <c r="O4" s="119"/>
      <c r="P4" s="119"/>
    </row>
    <row r="5" spans="1:16" ht="18.75">
      <c r="C5" s="56" t="s">
        <v>220</v>
      </c>
      <c r="D5" s="56" t="s">
        <v>220</v>
      </c>
      <c r="E5" s="56" t="s">
        <v>220</v>
      </c>
      <c r="F5" s="43">
        <v>8.81</v>
      </c>
      <c r="G5" s="43">
        <v>8.0500000000000007</v>
      </c>
      <c r="H5" s="47"/>
      <c r="I5" s="47">
        <f>AVERAGE(F5:G5)</f>
        <v>8.43</v>
      </c>
      <c r="L5" s="119"/>
      <c r="M5" s="119"/>
      <c r="N5" s="119"/>
      <c r="O5" s="119"/>
      <c r="P5" s="119"/>
    </row>
    <row r="6" spans="1:16" ht="18.75">
      <c r="C6" s="56" t="s">
        <v>220</v>
      </c>
      <c r="D6" s="56" t="s">
        <v>220</v>
      </c>
      <c r="E6" s="56" t="s">
        <v>220</v>
      </c>
      <c r="F6" s="43">
        <v>10.6</v>
      </c>
      <c r="G6" s="43">
        <v>10.7</v>
      </c>
      <c r="H6" s="47"/>
      <c r="I6" s="47">
        <f t="shared" ref="I6:I15" si="0">AVERAGE(F6:G6)</f>
        <v>10.649999999999999</v>
      </c>
      <c r="L6" s="119"/>
      <c r="M6" s="119"/>
      <c r="N6" s="119"/>
      <c r="O6" s="119"/>
      <c r="P6" s="119"/>
    </row>
    <row r="7" spans="1:16" ht="18.75">
      <c r="C7" s="56" t="s">
        <v>221</v>
      </c>
      <c r="D7" s="56" t="s">
        <v>220</v>
      </c>
      <c r="E7" s="56" t="s">
        <v>220</v>
      </c>
      <c r="F7" s="43">
        <v>13</v>
      </c>
      <c r="G7" s="43">
        <v>14.8</v>
      </c>
      <c r="H7" s="47"/>
      <c r="I7" s="47">
        <f t="shared" si="0"/>
        <v>13.9</v>
      </c>
      <c r="L7" s="119"/>
      <c r="M7" s="119"/>
      <c r="N7" s="119"/>
      <c r="O7" s="119"/>
      <c r="P7" s="119"/>
    </row>
    <row r="8" spans="1:16" ht="18.75">
      <c r="C8" s="56" t="s">
        <v>221</v>
      </c>
      <c r="D8" s="56" t="s">
        <v>220</v>
      </c>
      <c r="E8" s="56" t="s">
        <v>220</v>
      </c>
      <c r="F8" s="43">
        <v>18.2</v>
      </c>
      <c r="G8" s="43">
        <v>17.899999999999999</v>
      </c>
      <c r="H8" s="47"/>
      <c r="I8" s="47">
        <f t="shared" si="0"/>
        <v>18.049999999999997</v>
      </c>
      <c r="L8" s="119"/>
      <c r="M8" s="119"/>
      <c r="N8" s="119"/>
      <c r="O8" s="119"/>
      <c r="P8" s="119"/>
    </row>
    <row r="9" spans="1:16" ht="18.75">
      <c r="C9" s="56" t="s">
        <v>221</v>
      </c>
      <c r="D9" s="56" t="s">
        <v>220</v>
      </c>
      <c r="E9" s="56" t="s">
        <v>221</v>
      </c>
      <c r="F9" s="43">
        <v>11</v>
      </c>
      <c r="G9" s="43">
        <v>10.3</v>
      </c>
      <c r="H9" s="47"/>
      <c r="I9" s="47">
        <f t="shared" si="0"/>
        <v>10.65</v>
      </c>
      <c r="L9" s="119"/>
      <c r="M9" s="119"/>
      <c r="N9" s="119"/>
      <c r="O9" s="119"/>
      <c r="P9" s="119"/>
    </row>
    <row r="10" spans="1:16" ht="18.75">
      <c r="C10" s="56" t="s">
        <v>220</v>
      </c>
      <c r="D10" s="56" t="s">
        <v>221</v>
      </c>
      <c r="E10" s="56" t="s">
        <v>220</v>
      </c>
      <c r="F10" s="43">
        <v>8.15</v>
      </c>
      <c r="G10" s="43">
        <v>9.83</v>
      </c>
      <c r="H10" s="47"/>
      <c r="I10" s="47">
        <f t="shared" si="0"/>
        <v>8.99</v>
      </c>
      <c r="L10" s="119"/>
      <c r="M10" s="119"/>
      <c r="N10" s="119"/>
      <c r="O10" s="119"/>
      <c r="P10" s="119"/>
    </row>
    <row r="11" spans="1:16" ht="18.75">
      <c r="C11" s="56" t="s">
        <v>220</v>
      </c>
      <c r="D11" s="56" t="s">
        <v>221</v>
      </c>
      <c r="E11" s="56" t="s">
        <v>220</v>
      </c>
      <c r="F11" s="43">
        <v>24</v>
      </c>
      <c r="G11" s="43">
        <v>24.2</v>
      </c>
      <c r="H11" s="47"/>
      <c r="I11" s="47">
        <f t="shared" si="0"/>
        <v>24.1</v>
      </c>
      <c r="L11" s="119"/>
      <c r="M11" s="119"/>
      <c r="N11" s="119"/>
      <c r="O11" s="119"/>
    </row>
    <row r="12" spans="1:16" ht="18.75">
      <c r="C12" s="56" t="s">
        <v>220</v>
      </c>
      <c r="D12" s="56" t="s">
        <v>221</v>
      </c>
      <c r="E12" s="56" t="s">
        <v>221</v>
      </c>
      <c r="F12" s="43">
        <v>15.7</v>
      </c>
      <c r="G12" s="43">
        <v>15.6</v>
      </c>
      <c r="H12" s="47"/>
      <c r="I12" s="47">
        <f t="shared" si="0"/>
        <v>15.649999999999999</v>
      </c>
    </row>
    <row r="13" spans="1:16" ht="18.75">
      <c r="C13" s="56" t="s">
        <v>221</v>
      </c>
      <c r="D13" s="56" t="s">
        <v>221</v>
      </c>
      <c r="E13" s="56" t="s">
        <v>220</v>
      </c>
      <c r="F13" s="43">
        <v>28.6</v>
      </c>
      <c r="G13" s="43">
        <v>26</v>
      </c>
      <c r="H13" s="47"/>
      <c r="I13" s="47">
        <f t="shared" si="0"/>
        <v>27.3</v>
      </c>
    </row>
    <row r="14" spans="1:16" ht="18.75">
      <c r="C14" s="56" t="s">
        <v>221</v>
      </c>
      <c r="D14" s="56" t="s">
        <v>221</v>
      </c>
      <c r="E14" s="56" t="s">
        <v>220</v>
      </c>
      <c r="F14" s="43">
        <v>34.200000000000003</v>
      </c>
      <c r="G14" s="43">
        <v>41.6</v>
      </c>
      <c r="H14" s="47"/>
      <c r="I14" s="47">
        <f t="shared" si="0"/>
        <v>37.900000000000006</v>
      </c>
    </row>
    <row r="15" spans="1:16" ht="18.75">
      <c r="C15" s="56" t="s">
        <v>221</v>
      </c>
      <c r="D15" s="56" t="s">
        <v>221</v>
      </c>
      <c r="E15" s="56" t="s">
        <v>221</v>
      </c>
      <c r="F15" s="43">
        <v>20.5</v>
      </c>
      <c r="G15" s="43">
        <v>23.5</v>
      </c>
      <c r="H15" s="47"/>
      <c r="I15" s="47">
        <f t="shared" si="0"/>
        <v>22</v>
      </c>
    </row>
    <row r="16" spans="1:16" ht="15.75">
      <c r="F16" s="47"/>
      <c r="G16" s="47"/>
      <c r="H16" s="47"/>
      <c r="I16" s="47"/>
    </row>
  </sheetData>
  <mergeCells count="1">
    <mergeCell ref="F4:G4"/>
  </mergeCell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6"/>
  <sheetViews>
    <sheetView workbookViewId="0">
      <selection activeCell="M15" sqref="M15"/>
    </sheetView>
  </sheetViews>
  <sheetFormatPr defaultRowHeight="15"/>
  <cols>
    <col min="3" max="3" width="13" customWidth="1"/>
    <col min="4" max="4" width="13.140625" customWidth="1"/>
    <col min="6" max="6" width="16.28515625" customWidth="1"/>
    <col min="7" max="7" width="16.5703125" customWidth="1"/>
  </cols>
  <sheetData>
    <row r="2" spans="1:16">
      <c r="A2" t="s">
        <v>763</v>
      </c>
    </row>
    <row r="4" spans="1:16">
      <c r="C4" s="1" t="s">
        <v>256</v>
      </c>
      <c r="D4" s="137" t="s">
        <v>204</v>
      </c>
      <c r="E4" s="1" t="s">
        <v>218</v>
      </c>
      <c r="F4" s="169" t="s">
        <v>619</v>
      </c>
      <c r="G4" s="169"/>
      <c r="H4" s="1"/>
      <c r="I4" s="1" t="s">
        <v>385</v>
      </c>
      <c r="M4" s="119"/>
      <c r="N4" s="119"/>
      <c r="O4" s="119"/>
      <c r="P4" s="119"/>
    </row>
    <row r="5" spans="1:16" ht="18.75">
      <c r="C5" s="56" t="s">
        <v>220</v>
      </c>
      <c r="D5" s="56" t="s">
        <v>220</v>
      </c>
      <c r="E5" s="56" t="s">
        <v>220</v>
      </c>
      <c r="F5" s="43">
        <v>3.91</v>
      </c>
      <c r="G5" s="43">
        <v>3.73</v>
      </c>
      <c r="H5" s="47"/>
      <c r="I5" s="47">
        <f>AVERAGE(F5:G5)</f>
        <v>3.8200000000000003</v>
      </c>
      <c r="L5" s="119"/>
      <c r="M5" s="119"/>
      <c r="N5" s="119"/>
      <c r="O5" s="119"/>
      <c r="P5" s="119"/>
    </row>
    <row r="6" spans="1:16" ht="18.75">
      <c r="C6" s="56" t="s">
        <v>220</v>
      </c>
      <c r="D6" s="56" t="s">
        <v>220</v>
      </c>
      <c r="E6" s="56" t="s">
        <v>220</v>
      </c>
      <c r="F6" s="43">
        <v>6.16</v>
      </c>
      <c r="G6" s="43">
        <v>7.4</v>
      </c>
      <c r="H6" s="47"/>
      <c r="I6" s="47">
        <f t="shared" ref="I6:I15" si="0">AVERAGE(F6:G6)</f>
        <v>6.78</v>
      </c>
      <c r="L6" s="119"/>
      <c r="M6" s="119"/>
      <c r="N6" s="119"/>
      <c r="O6" s="119"/>
      <c r="P6" s="119"/>
    </row>
    <row r="7" spans="1:16" ht="18.75">
      <c r="C7" s="56" t="s">
        <v>221</v>
      </c>
      <c r="D7" s="56" t="s">
        <v>220</v>
      </c>
      <c r="E7" s="56" t="s">
        <v>220</v>
      </c>
      <c r="F7" s="43">
        <v>6.7</v>
      </c>
      <c r="G7" s="43">
        <v>6.11</v>
      </c>
      <c r="H7" s="47"/>
      <c r="I7" s="47">
        <f t="shared" si="0"/>
        <v>6.4050000000000002</v>
      </c>
      <c r="L7" s="119"/>
      <c r="M7" s="119"/>
      <c r="N7" s="119"/>
      <c r="O7" s="119"/>
      <c r="P7" s="119"/>
    </row>
    <row r="8" spans="1:16" ht="18.75">
      <c r="C8" s="56" t="s">
        <v>221</v>
      </c>
      <c r="D8" s="56" t="s">
        <v>220</v>
      </c>
      <c r="E8" s="56" t="s">
        <v>220</v>
      </c>
      <c r="F8" s="43">
        <v>19.5</v>
      </c>
      <c r="G8" s="43">
        <v>19.600000000000001</v>
      </c>
      <c r="H8" s="47"/>
      <c r="I8" s="47">
        <f t="shared" si="0"/>
        <v>19.55</v>
      </c>
      <c r="L8" s="119"/>
      <c r="M8" s="119"/>
      <c r="N8" s="119"/>
      <c r="O8" s="119"/>
      <c r="P8" s="119"/>
    </row>
    <row r="9" spans="1:16" ht="18.75">
      <c r="C9" s="56" t="s">
        <v>221</v>
      </c>
      <c r="D9" s="56" t="s">
        <v>220</v>
      </c>
      <c r="E9" s="56" t="s">
        <v>221</v>
      </c>
      <c r="F9" s="43">
        <v>12.4</v>
      </c>
      <c r="G9" s="43">
        <v>12.7</v>
      </c>
      <c r="H9" s="47"/>
      <c r="I9" s="47">
        <f t="shared" si="0"/>
        <v>12.55</v>
      </c>
      <c r="L9" s="119"/>
      <c r="M9" s="119"/>
      <c r="N9" s="119"/>
      <c r="O9" s="119"/>
      <c r="P9" s="119"/>
    </row>
    <row r="10" spans="1:16" ht="18.75">
      <c r="C10" s="56" t="s">
        <v>220</v>
      </c>
      <c r="D10" s="56" t="s">
        <v>221</v>
      </c>
      <c r="E10" s="56" t="s">
        <v>220</v>
      </c>
      <c r="F10" s="43">
        <v>4.22</v>
      </c>
      <c r="G10" s="43">
        <v>3.97</v>
      </c>
      <c r="H10" s="47"/>
      <c r="I10" s="47">
        <f t="shared" si="0"/>
        <v>4.0949999999999998</v>
      </c>
      <c r="L10" s="119"/>
      <c r="M10" s="119"/>
      <c r="N10" s="119"/>
      <c r="O10" s="119"/>
      <c r="P10" s="119"/>
    </row>
    <row r="11" spans="1:16" ht="18.75">
      <c r="C11" s="56" t="s">
        <v>220</v>
      </c>
      <c r="D11" s="56" t="s">
        <v>221</v>
      </c>
      <c r="E11" s="56" t="s">
        <v>220</v>
      </c>
      <c r="F11" s="43">
        <v>22</v>
      </c>
      <c r="G11" s="43">
        <v>20.399999999999999</v>
      </c>
      <c r="H11" s="47"/>
      <c r="I11" s="47">
        <f t="shared" si="0"/>
        <v>21.2</v>
      </c>
      <c r="L11" s="119"/>
      <c r="M11" s="119"/>
      <c r="N11" s="119"/>
      <c r="O11" s="119"/>
    </row>
    <row r="12" spans="1:16" ht="18.75">
      <c r="C12" s="56" t="s">
        <v>220</v>
      </c>
      <c r="D12" s="56" t="s">
        <v>221</v>
      </c>
      <c r="E12" s="56" t="s">
        <v>221</v>
      </c>
      <c r="F12" s="43">
        <v>13.4</v>
      </c>
      <c r="G12" s="43">
        <v>14.8</v>
      </c>
      <c r="H12" s="47"/>
      <c r="I12" s="47">
        <f t="shared" si="0"/>
        <v>14.100000000000001</v>
      </c>
      <c r="L12" s="119"/>
      <c r="M12" s="119"/>
      <c r="N12" s="119"/>
      <c r="O12" s="119"/>
    </row>
    <row r="13" spans="1:16" ht="18.75">
      <c r="C13" s="56" t="s">
        <v>221</v>
      </c>
      <c r="D13" s="56" t="s">
        <v>221</v>
      </c>
      <c r="E13" s="56" t="s">
        <v>220</v>
      </c>
      <c r="F13" s="43">
        <v>16.899999999999999</v>
      </c>
      <c r="G13" s="43">
        <v>15.6</v>
      </c>
      <c r="H13" s="47"/>
      <c r="I13" s="47">
        <f t="shared" si="0"/>
        <v>16.25</v>
      </c>
    </row>
    <row r="14" spans="1:16" ht="18.75">
      <c r="C14" s="56" t="s">
        <v>221</v>
      </c>
      <c r="D14" s="56" t="s">
        <v>221</v>
      </c>
      <c r="E14" s="56" t="s">
        <v>220</v>
      </c>
      <c r="F14" s="43">
        <v>24</v>
      </c>
      <c r="G14" s="43">
        <v>23.8</v>
      </c>
      <c r="H14" s="47"/>
      <c r="I14" s="47">
        <f t="shared" si="0"/>
        <v>23.9</v>
      </c>
    </row>
    <row r="15" spans="1:16" ht="18.75">
      <c r="C15" s="56" t="s">
        <v>221</v>
      </c>
      <c r="D15" s="56" t="s">
        <v>221</v>
      </c>
      <c r="E15" s="56" t="s">
        <v>221</v>
      </c>
      <c r="F15" s="43">
        <v>15.1</v>
      </c>
      <c r="G15" s="43">
        <v>12.3</v>
      </c>
      <c r="H15" s="47"/>
      <c r="I15" s="47">
        <f t="shared" si="0"/>
        <v>13.7</v>
      </c>
    </row>
    <row r="16" spans="1:16" ht="15.75">
      <c r="F16" s="47"/>
      <c r="G16" s="47"/>
      <c r="H16" s="47"/>
      <c r="I16" s="47"/>
    </row>
  </sheetData>
  <mergeCells count="1">
    <mergeCell ref="F4:G4"/>
  </mergeCells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4"/>
  <sheetViews>
    <sheetView zoomScale="57" zoomScaleNormal="57" workbookViewId="0">
      <selection activeCell="B21" sqref="B1:B21"/>
    </sheetView>
  </sheetViews>
  <sheetFormatPr defaultRowHeight="15"/>
  <cols>
    <col min="1" max="1" width="9.140625" style="8"/>
    <col min="2" max="2" width="47" style="8" customWidth="1"/>
    <col min="3" max="3" width="12.5703125" style="8" customWidth="1"/>
    <col min="4" max="8" width="9.140625" style="8"/>
    <col min="9" max="9" width="11.28515625" style="8" customWidth="1"/>
    <col min="10" max="11" width="9.140625" style="8"/>
    <col min="12" max="12" width="12.7109375" style="8" bestFit="1" customWidth="1"/>
    <col min="13" max="16384" width="9.140625" style="8"/>
  </cols>
  <sheetData>
    <row r="1" spans="1:22" ht="15.75">
      <c r="A1" s="107" t="s">
        <v>622</v>
      </c>
      <c r="B1" s="107"/>
    </row>
    <row r="3" spans="1:22">
      <c r="A3" s="21" t="s">
        <v>623</v>
      </c>
      <c r="B3" s="21"/>
      <c r="C3" s="175" t="s">
        <v>181</v>
      </c>
      <c r="D3" s="175"/>
      <c r="E3" s="175"/>
      <c r="F3" s="21"/>
      <c r="G3" s="175" t="s">
        <v>182</v>
      </c>
      <c r="H3" s="175"/>
      <c r="I3" s="175"/>
      <c r="J3" s="21"/>
      <c r="K3" s="100" t="s">
        <v>191</v>
      </c>
      <c r="L3" s="21"/>
      <c r="M3" s="21"/>
      <c r="N3" s="21"/>
      <c r="O3" s="21" t="s">
        <v>620</v>
      </c>
      <c r="P3" s="21" t="s">
        <v>58</v>
      </c>
      <c r="Q3" s="21"/>
      <c r="R3" s="21" t="s">
        <v>185</v>
      </c>
      <c r="S3" s="21"/>
      <c r="T3" s="21" t="s">
        <v>186</v>
      </c>
      <c r="V3" s="21" t="s">
        <v>229</v>
      </c>
    </row>
    <row r="4" spans="1:22">
      <c r="A4" s="8">
        <v>1</v>
      </c>
      <c r="B4" s="70" t="s">
        <v>230</v>
      </c>
      <c r="C4" s="70" t="s">
        <v>187</v>
      </c>
      <c r="D4" s="70" t="s">
        <v>188</v>
      </c>
      <c r="E4" s="70" t="s">
        <v>189</v>
      </c>
      <c r="F4" s="70"/>
      <c r="G4" s="70" t="s">
        <v>190</v>
      </c>
      <c r="H4" s="70" t="s">
        <v>188</v>
      </c>
      <c r="I4" s="70" t="s">
        <v>189</v>
      </c>
      <c r="J4" s="62"/>
      <c r="K4" s="62"/>
      <c r="L4" s="62"/>
      <c r="M4" s="62"/>
    </row>
    <row r="5" spans="1:22">
      <c r="B5" s="67" t="s">
        <v>248</v>
      </c>
      <c r="C5" s="63">
        <v>27.405999999999999</v>
      </c>
      <c r="D5" s="63">
        <v>27.195</v>
      </c>
      <c r="E5" s="63">
        <v>27.885000000000002</v>
      </c>
      <c r="F5" s="62"/>
      <c r="G5" s="62">
        <v>24.954000000000001</v>
      </c>
      <c r="H5" s="138">
        <v>24.295000000000002</v>
      </c>
      <c r="I5" s="62">
        <v>29.184999999999999</v>
      </c>
      <c r="J5" s="62"/>
      <c r="K5" s="62">
        <f t="shared" ref="K5:M6" si="0">C5-G5</f>
        <v>2.4519999999999982</v>
      </c>
      <c r="L5" s="62">
        <f t="shared" si="0"/>
        <v>2.8999999999999986</v>
      </c>
      <c r="M5" s="62">
        <f t="shared" si="0"/>
        <v>-1.2999999999999972</v>
      </c>
      <c r="O5" s="8">
        <f>AVERAGE(K5:M5)</f>
        <v>1.3506666666666665</v>
      </c>
      <c r="P5" s="8">
        <f>STDEV(K5:M5)</f>
        <v>2.3064477738143827</v>
      </c>
      <c r="R5" s="8">
        <f>O5-O5</f>
        <v>0</v>
      </c>
      <c r="T5" s="8">
        <f>POWER(2,-R5)</f>
        <v>1</v>
      </c>
      <c r="V5" s="8">
        <f>T5-1</f>
        <v>0</v>
      </c>
    </row>
    <row r="6" spans="1:22">
      <c r="B6" s="67" t="s">
        <v>249</v>
      </c>
      <c r="C6" s="62">
        <v>28.673999999999999</v>
      </c>
      <c r="D6" s="62">
        <v>28.658000000000001</v>
      </c>
      <c r="E6" s="63">
        <v>28.448</v>
      </c>
      <c r="F6" s="62"/>
      <c r="G6" s="62">
        <v>24.568999999999999</v>
      </c>
      <c r="H6" s="62">
        <v>24.119</v>
      </c>
      <c r="I6" s="63">
        <v>24.596</v>
      </c>
      <c r="J6" s="62"/>
      <c r="K6" s="62">
        <f t="shared" si="0"/>
        <v>4.1050000000000004</v>
      </c>
      <c r="L6" s="62">
        <f t="shared" si="0"/>
        <v>4.5390000000000015</v>
      </c>
      <c r="M6" s="62">
        <f t="shared" si="0"/>
        <v>3.8520000000000003</v>
      </c>
      <c r="O6" s="8">
        <f t="shared" ref="O6:O64" si="1">AVERAGE(K6:M6)</f>
        <v>4.1653333333333338</v>
      </c>
      <c r="P6" s="8">
        <f>STDEV(K6:M6)</f>
        <v>0.34745119561361965</v>
      </c>
      <c r="R6" s="8">
        <f>O6-O5</f>
        <v>2.8146666666666675</v>
      </c>
      <c r="T6" s="8">
        <f t="shared" ref="T6" si="2">POWER(2,-R6)</f>
        <v>0.14213495800941886</v>
      </c>
      <c r="V6" s="8">
        <f t="shared" ref="V6:V64" si="3">T6-1</f>
        <v>-0.85786504199058111</v>
      </c>
    </row>
    <row r="7" spans="1:22">
      <c r="B7" s="62"/>
      <c r="C7" s="62"/>
      <c r="D7" s="62"/>
      <c r="E7" s="63"/>
      <c r="F7" s="62"/>
      <c r="G7" s="62"/>
      <c r="H7" s="62"/>
      <c r="I7" s="63"/>
      <c r="J7" s="62"/>
      <c r="K7" s="62"/>
      <c r="L7" s="62"/>
      <c r="M7" s="62"/>
    </row>
    <row r="8" spans="1:22">
      <c r="A8" s="8">
        <v>2</v>
      </c>
      <c r="B8" s="70" t="s">
        <v>236</v>
      </c>
      <c r="C8" s="70" t="s">
        <v>187</v>
      </c>
      <c r="D8" s="70" t="s">
        <v>188</v>
      </c>
      <c r="E8" s="70" t="s">
        <v>189</v>
      </c>
      <c r="F8" s="70"/>
      <c r="G8" s="70" t="s">
        <v>190</v>
      </c>
      <c r="H8" s="70" t="s">
        <v>188</v>
      </c>
      <c r="I8" s="70" t="s">
        <v>189</v>
      </c>
      <c r="J8" s="62"/>
      <c r="K8" s="62"/>
      <c r="L8" s="62"/>
      <c r="M8" s="62"/>
    </row>
    <row r="9" spans="1:22">
      <c r="B9" s="67" t="s">
        <v>248</v>
      </c>
      <c r="C9" s="63">
        <v>28.637</v>
      </c>
      <c r="D9" s="63">
        <v>28.184999999999999</v>
      </c>
      <c r="E9" s="63">
        <v>28.774000000000001</v>
      </c>
      <c r="F9" s="62"/>
      <c r="G9" s="62">
        <v>24.911000000000001</v>
      </c>
      <c r="H9" s="138">
        <v>24.591999999999999</v>
      </c>
      <c r="I9" s="62">
        <v>24.693000000000001</v>
      </c>
      <c r="J9" s="62"/>
      <c r="K9" s="62">
        <f t="shared" ref="K9:M10" si="4">C9-G9</f>
        <v>3.7259999999999991</v>
      </c>
      <c r="L9" s="62">
        <f t="shared" si="4"/>
        <v>3.593</v>
      </c>
      <c r="M9" s="62">
        <f t="shared" si="4"/>
        <v>4.0809999999999995</v>
      </c>
      <c r="O9" s="8">
        <f t="shared" si="1"/>
        <v>3.7999999999999994</v>
      </c>
      <c r="P9" s="8">
        <f t="shared" ref="P9:P64" si="5">STDEV(K9:M9)</f>
        <v>0.25227564289879423</v>
      </c>
      <c r="R9" s="8">
        <f>O9-O9</f>
        <v>0</v>
      </c>
      <c r="T9" s="8">
        <f>POWER(2,-R9)</f>
        <v>1</v>
      </c>
      <c r="V9" s="8">
        <f t="shared" si="3"/>
        <v>0</v>
      </c>
    </row>
    <row r="10" spans="1:22">
      <c r="B10" s="67" t="s">
        <v>249</v>
      </c>
      <c r="C10" s="62">
        <v>27.184000000000001</v>
      </c>
      <c r="D10" s="62">
        <v>27.625</v>
      </c>
      <c r="E10" s="63">
        <v>27.456</v>
      </c>
      <c r="F10" s="62"/>
      <c r="G10" s="62">
        <v>24.114999999999998</v>
      </c>
      <c r="H10" s="62">
        <v>24.62</v>
      </c>
      <c r="I10" s="63">
        <v>24.105</v>
      </c>
      <c r="J10" s="62"/>
      <c r="K10" s="62">
        <f t="shared" si="4"/>
        <v>3.0690000000000026</v>
      </c>
      <c r="L10" s="62">
        <f t="shared" si="4"/>
        <v>3.004999999999999</v>
      </c>
      <c r="M10" s="62">
        <f t="shared" si="4"/>
        <v>3.3509999999999991</v>
      </c>
      <c r="O10" s="8">
        <f t="shared" si="1"/>
        <v>3.1416666666666671</v>
      </c>
      <c r="P10" s="8">
        <f t="shared" si="5"/>
        <v>0.18409055742577643</v>
      </c>
      <c r="R10" s="8">
        <f>O10-O9</f>
        <v>-0.65833333333333233</v>
      </c>
      <c r="T10" s="8">
        <f t="shared" ref="T10" si="6">POWER(2,-R10)</f>
        <v>1.5782582946772818</v>
      </c>
      <c r="V10" s="8">
        <f t="shared" si="3"/>
        <v>0.57825829467728185</v>
      </c>
    </row>
    <row r="11" spans="1:22">
      <c r="B11" s="62"/>
      <c r="C11" s="63"/>
      <c r="D11" s="63"/>
      <c r="E11" s="63"/>
      <c r="F11" s="62"/>
      <c r="G11" s="63"/>
      <c r="H11" s="63"/>
      <c r="I11" s="63"/>
      <c r="J11" s="62"/>
      <c r="K11" s="62"/>
      <c r="L11" s="62"/>
      <c r="M11" s="62"/>
    </row>
    <row r="12" spans="1:22">
      <c r="A12" s="8">
        <v>3</v>
      </c>
      <c r="B12" s="70" t="s">
        <v>237</v>
      </c>
      <c r="C12" s="70" t="s">
        <v>187</v>
      </c>
      <c r="D12" s="70" t="s">
        <v>188</v>
      </c>
      <c r="E12" s="70" t="s">
        <v>189</v>
      </c>
      <c r="F12" s="70"/>
      <c r="G12" s="70" t="s">
        <v>190</v>
      </c>
      <c r="H12" s="70" t="s">
        <v>188</v>
      </c>
      <c r="I12" s="70" t="s">
        <v>189</v>
      </c>
      <c r="J12" s="62"/>
      <c r="K12" s="62"/>
      <c r="L12" s="62"/>
      <c r="M12" s="62"/>
    </row>
    <row r="13" spans="1:22">
      <c r="B13" s="67" t="s">
        <v>248</v>
      </c>
      <c r="C13" s="63">
        <v>29.484999999999999</v>
      </c>
      <c r="D13" s="63">
        <v>29.184000000000001</v>
      </c>
      <c r="E13" s="63">
        <v>29.754000000000001</v>
      </c>
      <c r="F13" s="62"/>
      <c r="G13" s="62">
        <v>24.12</v>
      </c>
      <c r="H13" s="138">
        <v>24.542999999999999</v>
      </c>
      <c r="I13" s="62">
        <v>24.305</v>
      </c>
      <c r="J13" s="62"/>
      <c r="K13" s="62">
        <f t="shared" ref="K13:M14" si="7">C13-G13</f>
        <v>5.3649999999999984</v>
      </c>
      <c r="L13" s="62">
        <f t="shared" si="7"/>
        <v>4.6410000000000018</v>
      </c>
      <c r="M13" s="62">
        <f t="shared" si="7"/>
        <v>5.4490000000000016</v>
      </c>
      <c r="O13" s="8">
        <f t="shared" si="1"/>
        <v>5.1516666666666673</v>
      </c>
      <c r="P13" s="8">
        <f t="shared" si="5"/>
        <v>0.44424017528059367</v>
      </c>
      <c r="R13" s="8">
        <f>O13-O13</f>
        <v>0</v>
      </c>
      <c r="T13" s="8">
        <f>POWER(2,-R13)</f>
        <v>1</v>
      </c>
      <c r="V13" s="8">
        <f t="shared" si="3"/>
        <v>0</v>
      </c>
    </row>
    <row r="14" spans="1:22">
      <c r="B14" s="67" t="s">
        <v>249</v>
      </c>
      <c r="C14" s="62">
        <v>30.285</v>
      </c>
      <c r="D14" s="62">
        <v>30.518000000000001</v>
      </c>
      <c r="E14" s="63">
        <v>30.181999999999999</v>
      </c>
      <c r="F14" s="62"/>
      <c r="G14" s="62">
        <v>24.228999999999999</v>
      </c>
      <c r="H14" s="62">
        <v>24.7</v>
      </c>
      <c r="I14" s="63">
        <v>24.195</v>
      </c>
      <c r="J14" s="62"/>
      <c r="K14" s="62">
        <f t="shared" si="7"/>
        <v>6.0560000000000009</v>
      </c>
      <c r="L14" s="62">
        <f t="shared" si="7"/>
        <v>5.8180000000000014</v>
      </c>
      <c r="M14" s="62">
        <f t="shared" si="7"/>
        <v>5.9869999999999983</v>
      </c>
      <c r="O14" s="8">
        <f t="shared" si="1"/>
        <v>5.9536666666666669</v>
      </c>
      <c r="P14" s="8">
        <f t="shared" si="5"/>
        <v>0.12245135088406818</v>
      </c>
      <c r="R14" s="8">
        <f>O14-O13</f>
        <v>0.8019999999999996</v>
      </c>
      <c r="T14" s="8">
        <f t="shared" ref="T14" si="8">POWER(2,-R14)</f>
        <v>0.57355351211308281</v>
      </c>
      <c r="V14" s="8">
        <f t="shared" si="3"/>
        <v>-0.42644648788691719</v>
      </c>
    </row>
    <row r="15" spans="1:22">
      <c r="B15" s="62"/>
      <c r="C15" s="62"/>
      <c r="D15" s="62"/>
      <c r="E15" s="63"/>
      <c r="F15" s="62"/>
      <c r="G15" s="62"/>
      <c r="H15" s="62"/>
      <c r="I15" s="63"/>
      <c r="J15" s="62"/>
      <c r="K15" s="62"/>
      <c r="L15" s="62"/>
      <c r="M15" s="62"/>
    </row>
    <row r="16" spans="1:22">
      <c r="B16" s="62"/>
      <c r="C16" s="62"/>
      <c r="D16" s="62"/>
      <c r="E16" s="63"/>
      <c r="F16" s="62"/>
      <c r="G16" s="62"/>
      <c r="H16" s="62"/>
      <c r="I16" s="63"/>
      <c r="J16" s="62"/>
      <c r="K16" s="62"/>
      <c r="L16" s="62"/>
      <c r="M16" s="62"/>
    </row>
    <row r="17" spans="1:22">
      <c r="A17" s="8">
        <v>4</v>
      </c>
      <c r="B17" s="70" t="s">
        <v>238</v>
      </c>
      <c r="C17" s="70" t="s">
        <v>187</v>
      </c>
      <c r="D17" s="70" t="s">
        <v>188</v>
      </c>
      <c r="E17" s="70" t="s">
        <v>189</v>
      </c>
      <c r="F17" s="70"/>
      <c r="G17" s="70" t="s">
        <v>190</v>
      </c>
      <c r="H17" s="70" t="s">
        <v>188</v>
      </c>
      <c r="I17" s="70" t="s">
        <v>189</v>
      </c>
      <c r="J17" s="62"/>
      <c r="K17" s="62"/>
      <c r="L17" s="62"/>
      <c r="M17" s="62"/>
    </row>
    <row r="18" spans="1:22">
      <c r="B18" s="67" t="s">
        <v>248</v>
      </c>
      <c r="C18" s="63">
        <v>29.844999999999999</v>
      </c>
      <c r="D18" s="63">
        <v>29.117999999999999</v>
      </c>
      <c r="E18" s="63">
        <v>29.835000000000001</v>
      </c>
      <c r="F18" s="62"/>
      <c r="G18" s="62">
        <v>24.603000000000002</v>
      </c>
      <c r="H18" s="138">
        <v>24.116</v>
      </c>
      <c r="I18" s="62">
        <v>24.693000000000001</v>
      </c>
      <c r="J18" s="62"/>
      <c r="K18" s="62">
        <f t="shared" ref="K18:M19" si="9">C18-G18</f>
        <v>5.2419999999999973</v>
      </c>
      <c r="L18" s="62">
        <f t="shared" si="9"/>
        <v>5.0019999999999989</v>
      </c>
      <c r="M18" s="62">
        <f t="shared" si="9"/>
        <v>5.1419999999999995</v>
      </c>
      <c r="O18" s="8">
        <f t="shared" si="1"/>
        <v>5.1286666666666649</v>
      </c>
      <c r="P18" s="8">
        <f t="shared" si="5"/>
        <v>0.12055427546683346</v>
      </c>
      <c r="R18" s="8">
        <f>O18-O18</f>
        <v>0</v>
      </c>
      <c r="T18" s="8">
        <f>POWER(2,-R18)</f>
        <v>1</v>
      </c>
      <c r="V18" s="8">
        <f t="shared" si="3"/>
        <v>0</v>
      </c>
    </row>
    <row r="19" spans="1:22">
      <c r="B19" s="67" t="s">
        <v>249</v>
      </c>
      <c r="C19" s="62">
        <v>30.824999999999999</v>
      </c>
      <c r="D19" s="62">
        <v>30.548999999999999</v>
      </c>
      <c r="E19" s="63">
        <v>30.774000000000001</v>
      </c>
      <c r="F19" s="62"/>
      <c r="G19" s="62">
        <v>24.936</v>
      </c>
      <c r="H19" s="62">
        <v>24.105</v>
      </c>
      <c r="I19" s="63">
        <v>24.529</v>
      </c>
      <c r="J19" s="62"/>
      <c r="K19" s="62">
        <f t="shared" si="9"/>
        <v>5.8889999999999993</v>
      </c>
      <c r="L19" s="62">
        <f t="shared" si="9"/>
        <v>6.4439999999999991</v>
      </c>
      <c r="M19" s="62">
        <f t="shared" si="9"/>
        <v>6.245000000000001</v>
      </c>
      <c r="O19" s="8">
        <f t="shared" si="1"/>
        <v>6.1926666666666668</v>
      </c>
      <c r="P19" s="8">
        <f t="shared" si="5"/>
        <v>0.28117669415037466</v>
      </c>
      <c r="R19" s="8">
        <f>O19-O18</f>
        <v>1.0640000000000018</v>
      </c>
      <c r="T19" s="8">
        <f t="shared" ref="T19" si="10">POWER(2,-R19)</f>
        <v>0.47830407904593658</v>
      </c>
      <c r="V19" s="8">
        <f t="shared" si="3"/>
        <v>-0.52169592095406347</v>
      </c>
    </row>
    <row r="20" spans="1:22">
      <c r="B20" s="70"/>
      <c r="C20" s="62"/>
      <c r="D20" s="62"/>
      <c r="E20" s="62"/>
      <c r="F20" s="62"/>
      <c r="G20" s="62"/>
      <c r="H20" s="63"/>
      <c r="I20" s="63"/>
      <c r="J20" s="63"/>
      <c r="K20" s="62"/>
      <c r="L20" s="62"/>
      <c r="M20" s="62"/>
    </row>
    <row r="21" spans="1:22">
      <c r="B21" s="62"/>
      <c r="C21" s="63"/>
      <c r="D21" s="63"/>
      <c r="E21" s="63"/>
      <c r="F21" s="62"/>
      <c r="G21" s="62"/>
      <c r="H21" s="62"/>
      <c r="I21" s="62"/>
      <c r="J21" s="62"/>
      <c r="K21" s="62"/>
      <c r="L21" s="62"/>
      <c r="M21" s="62"/>
    </row>
    <row r="22" spans="1:22">
      <c r="A22" s="8">
        <v>5</v>
      </c>
      <c r="B22" s="70" t="s">
        <v>239</v>
      </c>
      <c r="C22" s="70" t="s">
        <v>187</v>
      </c>
      <c r="D22" s="70" t="s">
        <v>188</v>
      </c>
      <c r="E22" s="70" t="s">
        <v>189</v>
      </c>
      <c r="F22" s="70"/>
      <c r="G22" s="70" t="s">
        <v>190</v>
      </c>
      <c r="H22" s="70" t="s">
        <v>188</v>
      </c>
      <c r="I22" s="70" t="s">
        <v>189</v>
      </c>
      <c r="J22" s="62"/>
      <c r="K22" s="62"/>
      <c r="L22" s="62"/>
      <c r="M22" s="62"/>
    </row>
    <row r="23" spans="1:22">
      <c r="B23" s="67" t="s">
        <v>248</v>
      </c>
      <c r="C23" s="62">
        <v>32.395000000000003</v>
      </c>
      <c r="D23" s="62">
        <v>32.558999999999997</v>
      </c>
      <c r="E23" s="63">
        <v>32.643999999999998</v>
      </c>
      <c r="F23" s="62"/>
      <c r="G23" s="62">
        <v>24.26</v>
      </c>
      <c r="H23" s="138">
        <v>24.36</v>
      </c>
      <c r="I23" s="62">
        <v>24.683</v>
      </c>
      <c r="J23" s="62"/>
      <c r="K23" s="62">
        <f t="shared" ref="K23:M24" si="11">C23-G23</f>
        <v>8.1350000000000016</v>
      </c>
      <c r="L23" s="62">
        <f t="shared" si="11"/>
        <v>8.1989999999999981</v>
      </c>
      <c r="M23" s="62">
        <f t="shared" si="11"/>
        <v>7.9609999999999985</v>
      </c>
      <c r="O23" s="8">
        <f t="shared" si="1"/>
        <v>8.0983333333333327</v>
      </c>
      <c r="P23" s="8">
        <f t="shared" si="5"/>
        <v>0.12316384750945952</v>
      </c>
      <c r="R23" s="8">
        <f>O23-O23</f>
        <v>0</v>
      </c>
      <c r="T23" s="8">
        <f>POWER(2,-R23)</f>
        <v>1</v>
      </c>
      <c r="V23" s="8">
        <f t="shared" si="3"/>
        <v>0</v>
      </c>
    </row>
    <row r="24" spans="1:22">
      <c r="B24" s="67" t="s">
        <v>249</v>
      </c>
      <c r="C24" s="62">
        <v>30.114000000000001</v>
      </c>
      <c r="D24" s="62">
        <v>30.193999999999999</v>
      </c>
      <c r="E24" s="63">
        <v>30.318999999999999</v>
      </c>
      <c r="F24" s="62"/>
      <c r="G24" s="62">
        <v>24.419</v>
      </c>
      <c r="H24" s="62">
        <v>24.693000000000001</v>
      </c>
      <c r="I24" s="63">
        <v>24.995999999999999</v>
      </c>
      <c r="J24" s="62"/>
      <c r="K24" s="62">
        <f t="shared" si="11"/>
        <v>5.6950000000000003</v>
      </c>
      <c r="L24" s="62">
        <f t="shared" si="11"/>
        <v>5.5009999999999977</v>
      </c>
      <c r="M24" s="62">
        <f t="shared" si="11"/>
        <v>5.3230000000000004</v>
      </c>
      <c r="O24" s="8">
        <f t="shared" si="1"/>
        <v>5.5063333333333331</v>
      </c>
      <c r="P24" s="8">
        <f t="shared" si="5"/>
        <v>0.1860573388322356</v>
      </c>
      <c r="R24" s="8">
        <f>O24-O23</f>
        <v>-2.5919999999999996</v>
      </c>
      <c r="T24" s="8">
        <f t="shared" ref="T24" si="12">POWER(2,-R24)</f>
        <v>6.0293396382335214</v>
      </c>
      <c r="V24" s="8">
        <f t="shared" si="3"/>
        <v>5.0293396382335214</v>
      </c>
    </row>
    <row r="25" spans="1:22">
      <c r="B25" s="62"/>
      <c r="C25" s="63"/>
      <c r="D25" s="63"/>
      <c r="E25" s="63"/>
      <c r="F25" s="62"/>
      <c r="G25" s="62"/>
      <c r="H25" s="62"/>
      <c r="I25" s="62"/>
      <c r="J25" s="62"/>
      <c r="K25" s="62"/>
      <c r="L25" s="62"/>
      <c r="M25" s="62"/>
    </row>
    <row r="26" spans="1:22">
      <c r="B26" s="62"/>
      <c r="C26" s="62"/>
      <c r="D26" s="62"/>
      <c r="E26" s="63"/>
      <c r="F26" s="62"/>
      <c r="G26" s="62"/>
      <c r="H26" s="62"/>
      <c r="I26" s="63"/>
      <c r="J26" s="62"/>
      <c r="K26" s="62"/>
      <c r="L26" s="62"/>
      <c r="M26" s="62"/>
    </row>
    <row r="27" spans="1:22">
      <c r="A27" s="8">
        <v>6</v>
      </c>
      <c r="B27" s="70" t="s">
        <v>240</v>
      </c>
      <c r="C27" s="70" t="s">
        <v>187</v>
      </c>
      <c r="D27" s="70" t="s">
        <v>188</v>
      </c>
      <c r="E27" s="70" t="s">
        <v>189</v>
      </c>
      <c r="F27" s="70"/>
      <c r="G27" s="70" t="s">
        <v>190</v>
      </c>
      <c r="H27" s="70" t="s">
        <v>188</v>
      </c>
      <c r="I27" s="70" t="s">
        <v>189</v>
      </c>
      <c r="J27" s="62"/>
      <c r="K27" s="62"/>
      <c r="L27" s="62"/>
      <c r="M27" s="62"/>
    </row>
    <row r="28" spans="1:22">
      <c r="B28" s="67" t="s">
        <v>248</v>
      </c>
      <c r="C28" s="63">
        <v>32.295000000000002</v>
      </c>
      <c r="D28" s="63">
        <v>32.558</v>
      </c>
      <c r="E28" s="63">
        <v>32.158999999999999</v>
      </c>
      <c r="F28" s="62"/>
      <c r="G28" s="62">
        <v>24.31</v>
      </c>
      <c r="H28" s="138">
        <v>24.683</v>
      </c>
      <c r="I28" s="62">
        <v>24.195</v>
      </c>
      <c r="J28" s="62"/>
      <c r="K28" s="62">
        <f t="shared" ref="K28:M29" si="13">C28-G28</f>
        <v>7.985000000000003</v>
      </c>
      <c r="L28" s="62">
        <f t="shared" si="13"/>
        <v>7.875</v>
      </c>
      <c r="M28" s="62">
        <f t="shared" si="13"/>
        <v>7.9639999999999986</v>
      </c>
      <c r="O28" s="8">
        <f t="shared" si="1"/>
        <v>7.9413333333333336</v>
      </c>
      <c r="P28" s="8">
        <f t="shared" si="5"/>
        <v>5.8398059328486532E-2</v>
      </c>
      <c r="R28" s="8">
        <f>O28-O28</f>
        <v>0</v>
      </c>
      <c r="T28" s="8">
        <f>POWER(2,-R28)</f>
        <v>1</v>
      </c>
      <c r="V28" s="8">
        <f t="shared" si="3"/>
        <v>0</v>
      </c>
    </row>
    <row r="29" spans="1:22">
      <c r="B29" s="67" t="s">
        <v>249</v>
      </c>
      <c r="C29" s="62">
        <v>34.622</v>
      </c>
      <c r="D29" s="62">
        <v>34.518000000000001</v>
      </c>
      <c r="E29" s="63">
        <v>34.619</v>
      </c>
      <c r="F29" s="62"/>
      <c r="G29" s="62">
        <v>24.638999999999999</v>
      </c>
      <c r="H29" s="62">
        <v>24.622</v>
      </c>
      <c r="I29" s="63">
        <v>24.532</v>
      </c>
      <c r="J29" s="62"/>
      <c r="K29" s="62">
        <f t="shared" si="13"/>
        <v>9.9830000000000005</v>
      </c>
      <c r="L29" s="62">
        <f t="shared" si="13"/>
        <v>9.8960000000000008</v>
      </c>
      <c r="M29" s="62">
        <f t="shared" si="13"/>
        <v>10.087</v>
      </c>
      <c r="O29" s="8">
        <f t="shared" si="1"/>
        <v>9.988666666666667</v>
      </c>
      <c r="P29" s="8">
        <f t="shared" si="5"/>
        <v>9.5626007619963038E-2</v>
      </c>
      <c r="R29" s="8">
        <f>O29-O28</f>
        <v>2.0473333333333334</v>
      </c>
      <c r="T29" s="8">
        <f t="shared" ref="T29" si="14">POWER(2,-R29)</f>
        <v>0.24193085236928871</v>
      </c>
      <c r="V29" s="8">
        <f t="shared" si="3"/>
        <v>-0.75806914763071132</v>
      </c>
    </row>
    <row r="30" spans="1:22">
      <c r="B30" s="62"/>
      <c r="C30" s="62"/>
      <c r="D30" s="62"/>
      <c r="E30" s="63"/>
      <c r="F30" s="62"/>
      <c r="G30" s="62"/>
      <c r="H30" s="62"/>
      <c r="I30" s="63"/>
      <c r="J30" s="62"/>
      <c r="K30" s="62"/>
      <c r="L30" s="62"/>
      <c r="M30" s="62"/>
    </row>
    <row r="31" spans="1:22">
      <c r="B31" s="62"/>
      <c r="C31" s="62"/>
      <c r="D31" s="62"/>
      <c r="E31" s="63"/>
      <c r="F31" s="62"/>
      <c r="G31" s="63"/>
      <c r="H31" s="63"/>
      <c r="I31" s="63"/>
      <c r="J31" s="62"/>
      <c r="K31" s="62"/>
      <c r="L31" s="62"/>
      <c r="M31" s="62"/>
    </row>
    <row r="32" spans="1:22">
      <c r="A32" s="8">
        <v>7</v>
      </c>
      <c r="B32" s="70" t="s">
        <v>241</v>
      </c>
      <c r="C32" s="70" t="s">
        <v>187</v>
      </c>
      <c r="D32" s="70" t="s">
        <v>188</v>
      </c>
      <c r="E32" s="70" t="s">
        <v>189</v>
      </c>
      <c r="F32" s="70"/>
      <c r="G32" s="70" t="s">
        <v>190</v>
      </c>
      <c r="H32" s="70" t="s">
        <v>188</v>
      </c>
      <c r="I32" s="70" t="s">
        <v>189</v>
      </c>
      <c r="J32" s="62"/>
      <c r="K32" s="62"/>
      <c r="L32" s="62"/>
      <c r="M32" s="62"/>
    </row>
    <row r="33" spans="1:22">
      <c r="B33" s="67" t="s">
        <v>248</v>
      </c>
      <c r="C33" s="63">
        <v>34.293999999999997</v>
      </c>
      <c r="D33" s="63">
        <v>34.619</v>
      </c>
      <c r="E33" s="63">
        <v>34.881</v>
      </c>
      <c r="F33" s="62"/>
      <c r="G33" s="62">
        <v>24.331</v>
      </c>
      <c r="H33" s="138">
        <v>24.527999999999999</v>
      </c>
      <c r="I33" s="62">
        <v>24.318999999999999</v>
      </c>
      <c r="J33" s="62"/>
      <c r="K33" s="62">
        <f t="shared" ref="K33:M34" si="15">C33-G33</f>
        <v>9.9629999999999974</v>
      </c>
      <c r="L33" s="62">
        <f t="shared" si="15"/>
        <v>10.091000000000001</v>
      </c>
      <c r="M33" s="62">
        <f t="shared" si="15"/>
        <v>10.562000000000001</v>
      </c>
      <c r="O33" s="8">
        <f t="shared" si="1"/>
        <v>10.205333333333334</v>
      </c>
      <c r="P33" s="8">
        <f t="shared" si="5"/>
        <v>0.31544307463207089</v>
      </c>
      <c r="R33" s="8">
        <f>O33-O33</f>
        <v>0</v>
      </c>
      <c r="T33" s="8">
        <f>POWER(2,-R33)</f>
        <v>1</v>
      </c>
      <c r="V33" s="8">
        <f t="shared" si="3"/>
        <v>0</v>
      </c>
    </row>
    <row r="34" spans="1:22">
      <c r="B34" s="67" t="s">
        <v>249</v>
      </c>
      <c r="C34" s="62">
        <v>37.612000000000002</v>
      </c>
      <c r="D34" s="62">
        <v>37.612000000000002</v>
      </c>
      <c r="E34" s="63">
        <v>37.384999999999998</v>
      </c>
      <c r="F34" s="62"/>
      <c r="G34" s="62">
        <v>24.792999999999999</v>
      </c>
      <c r="H34" s="62">
        <v>24.19</v>
      </c>
      <c r="I34" s="63">
        <v>24.638000000000002</v>
      </c>
      <c r="J34" s="62"/>
      <c r="K34" s="62">
        <f t="shared" si="15"/>
        <v>12.819000000000003</v>
      </c>
      <c r="L34" s="62">
        <f t="shared" si="15"/>
        <v>13.422000000000001</v>
      </c>
      <c r="M34" s="62">
        <f t="shared" si="15"/>
        <v>12.746999999999996</v>
      </c>
      <c r="O34" s="8">
        <f t="shared" si="1"/>
        <v>12.996</v>
      </c>
      <c r="P34" s="8">
        <f t="shared" si="5"/>
        <v>0.37067910650588426</v>
      </c>
      <c r="R34" s="8">
        <f>O34-O33</f>
        <v>2.7906666666666666</v>
      </c>
      <c r="T34" s="8">
        <f t="shared" ref="T34" si="16">POWER(2,-R34)</f>
        <v>0.14451922549339291</v>
      </c>
      <c r="V34" s="8">
        <f t="shared" si="3"/>
        <v>-0.85548077450660709</v>
      </c>
    </row>
    <row r="35" spans="1:22">
      <c r="B35" s="62"/>
      <c r="C35" s="62"/>
      <c r="D35" s="62"/>
      <c r="E35" s="63"/>
      <c r="F35" s="62"/>
      <c r="G35" s="62"/>
      <c r="H35" s="63"/>
      <c r="I35" s="62"/>
      <c r="J35" s="62"/>
      <c r="K35" s="62"/>
      <c r="L35" s="62"/>
      <c r="M35" s="62"/>
    </row>
    <row r="36" spans="1:22">
      <c r="B36" s="70"/>
      <c r="C36" s="62"/>
      <c r="D36" s="62"/>
      <c r="E36" s="62"/>
      <c r="F36" s="62"/>
      <c r="G36" s="62"/>
      <c r="H36" s="63"/>
      <c r="I36" s="63"/>
      <c r="J36" s="63"/>
      <c r="K36" s="62"/>
      <c r="L36" s="62"/>
      <c r="M36" s="62"/>
    </row>
    <row r="37" spans="1:22">
      <c r="A37" s="8">
        <v>8</v>
      </c>
      <c r="B37" s="70" t="s">
        <v>621</v>
      </c>
      <c r="C37" s="70" t="s">
        <v>187</v>
      </c>
      <c r="D37" s="70" t="s">
        <v>188</v>
      </c>
      <c r="E37" s="70" t="s">
        <v>189</v>
      </c>
      <c r="F37" s="70"/>
      <c r="G37" s="70" t="s">
        <v>190</v>
      </c>
      <c r="H37" s="70" t="s">
        <v>188</v>
      </c>
      <c r="I37" s="70" t="s">
        <v>189</v>
      </c>
      <c r="J37" s="62"/>
      <c r="K37" s="62"/>
      <c r="L37" s="62"/>
      <c r="M37" s="62"/>
    </row>
    <row r="38" spans="1:22">
      <c r="B38" s="67" t="s">
        <v>248</v>
      </c>
      <c r="C38" s="63">
        <v>29.847000000000001</v>
      </c>
      <c r="D38" s="63">
        <v>29.117999999999999</v>
      </c>
      <c r="E38" s="63">
        <v>29.613</v>
      </c>
      <c r="F38" s="62"/>
      <c r="G38" s="62">
        <v>24.593</v>
      </c>
      <c r="H38" s="138">
        <v>24.295999999999999</v>
      </c>
      <c r="I38" s="62">
        <v>24.777999999999999</v>
      </c>
      <c r="J38" s="62"/>
      <c r="K38" s="62">
        <f t="shared" ref="K38:M39" si="17">C38-G38</f>
        <v>5.2540000000000013</v>
      </c>
      <c r="L38" s="62">
        <f t="shared" si="17"/>
        <v>4.8219999999999992</v>
      </c>
      <c r="M38" s="62">
        <f t="shared" si="17"/>
        <v>4.8350000000000009</v>
      </c>
      <c r="O38" s="8">
        <f t="shared" si="1"/>
        <v>4.9703333333333335</v>
      </c>
      <c r="P38" s="8">
        <f t="shared" si="5"/>
        <v>0.24574851644177573</v>
      </c>
      <c r="R38" s="8">
        <f>O38-O38</f>
        <v>0</v>
      </c>
      <c r="T38" s="8">
        <f>POWER(2,-R38)</f>
        <v>1</v>
      </c>
      <c r="V38" s="8">
        <f t="shared" si="3"/>
        <v>0</v>
      </c>
    </row>
    <row r="39" spans="1:22">
      <c r="B39" s="67" t="s">
        <v>249</v>
      </c>
      <c r="C39" s="62">
        <v>30.881</v>
      </c>
      <c r="D39" s="62">
        <v>30.853999999999999</v>
      </c>
      <c r="E39" s="63">
        <v>30.283999999999999</v>
      </c>
      <c r="F39" s="62"/>
      <c r="G39" s="62">
        <v>24.195</v>
      </c>
      <c r="H39" s="62">
        <v>24.783000000000001</v>
      </c>
      <c r="I39" s="63">
        <v>24.193999999999999</v>
      </c>
      <c r="J39" s="62"/>
      <c r="K39" s="62">
        <f t="shared" si="17"/>
        <v>6.6859999999999999</v>
      </c>
      <c r="L39" s="62">
        <f t="shared" si="17"/>
        <v>6.070999999999998</v>
      </c>
      <c r="M39" s="62">
        <f t="shared" si="17"/>
        <v>6.09</v>
      </c>
      <c r="O39" s="8">
        <f t="shared" si="1"/>
        <v>6.2823333333333329</v>
      </c>
      <c r="P39" s="8">
        <f t="shared" si="5"/>
        <v>0.34971464558026988</v>
      </c>
      <c r="R39" s="8">
        <f>O39-O38</f>
        <v>1.3119999999999994</v>
      </c>
      <c r="T39" s="8">
        <f t="shared" ref="T39" si="18">POWER(2,-R39)</f>
        <v>0.40276214552437534</v>
      </c>
      <c r="V39" s="8">
        <f t="shared" si="3"/>
        <v>-0.59723785447562472</v>
      </c>
    </row>
    <row r="40" spans="1:22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</row>
    <row r="41" spans="1:22"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</row>
    <row r="42" spans="1:22">
      <c r="A42" s="8">
        <v>9</v>
      </c>
      <c r="B42" s="70" t="s">
        <v>242</v>
      </c>
      <c r="C42" s="70" t="s">
        <v>187</v>
      </c>
      <c r="D42" s="70" t="s">
        <v>188</v>
      </c>
      <c r="E42" s="70" t="s">
        <v>189</v>
      </c>
      <c r="F42" s="70"/>
      <c r="G42" s="70" t="s">
        <v>190</v>
      </c>
      <c r="H42" s="70" t="s">
        <v>188</v>
      </c>
      <c r="I42" s="70" t="s">
        <v>189</v>
      </c>
      <c r="J42" s="62"/>
      <c r="K42" s="62"/>
      <c r="L42" s="62"/>
      <c r="M42" s="62"/>
    </row>
    <row r="43" spans="1:22">
      <c r="B43" s="67" t="s">
        <v>248</v>
      </c>
      <c r="C43" s="63">
        <v>32.691000000000003</v>
      </c>
      <c r="D43" s="63">
        <v>32.119</v>
      </c>
      <c r="E43" s="63">
        <v>32.823999999999998</v>
      </c>
      <c r="F43" s="62"/>
      <c r="G43" s="62">
        <v>24.119</v>
      </c>
      <c r="H43" s="138">
        <v>24.684000000000001</v>
      </c>
      <c r="I43" s="62">
        <v>24.193999999999999</v>
      </c>
      <c r="J43" s="62"/>
      <c r="K43" s="62">
        <f t="shared" ref="K43:M44" si="19">C43-G43</f>
        <v>8.5720000000000027</v>
      </c>
      <c r="L43" s="62">
        <f t="shared" si="19"/>
        <v>7.4349999999999987</v>
      </c>
      <c r="M43" s="62">
        <f t="shared" si="19"/>
        <v>8.629999999999999</v>
      </c>
      <c r="O43" s="8">
        <f t="shared" si="1"/>
        <v>8.2123333333333335</v>
      </c>
      <c r="P43" s="8">
        <f t="shared" si="5"/>
        <v>0.67381476188440315</v>
      </c>
      <c r="R43" s="8">
        <f>O43-O43</f>
        <v>0</v>
      </c>
      <c r="T43" s="8">
        <f>POWER(2,-R43)</f>
        <v>1</v>
      </c>
      <c r="V43" s="8">
        <f t="shared" si="3"/>
        <v>0</v>
      </c>
    </row>
    <row r="44" spans="1:22">
      <c r="B44" s="67" t="s">
        <v>249</v>
      </c>
      <c r="C44" s="62">
        <v>31.119</v>
      </c>
      <c r="D44" s="62">
        <v>31.683</v>
      </c>
      <c r="E44" s="63">
        <v>31.739000000000001</v>
      </c>
      <c r="F44" s="62"/>
      <c r="G44" s="62">
        <v>24.821999999999999</v>
      </c>
      <c r="H44" s="62">
        <v>24.683</v>
      </c>
      <c r="I44" s="63">
        <v>24.518000000000001</v>
      </c>
      <c r="J44" s="62"/>
      <c r="K44" s="62">
        <f t="shared" si="19"/>
        <v>6.2970000000000006</v>
      </c>
      <c r="L44" s="62">
        <f t="shared" si="19"/>
        <v>7</v>
      </c>
      <c r="M44" s="62">
        <f t="shared" si="19"/>
        <v>7.2210000000000001</v>
      </c>
      <c r="O44" s="8">
        <f t="shared" si="1"/>
        <v>6.8393333333333333</v>
      </c>
      <c r="P44" s="8">
        <f t="shared" si="5"/>
        <v>0.48249801381283741</v>
      </c>
      <c r="R44" s="8">
        <f>O44-O43</f>
        <v>-1.3730000000000002</v>
      </c>
      <c r="T44" s="8">
        <f t="shared" ref="T44" si="20">POWER(2,-R44)</f>
        <v>2.5900859977088504</v>
      </c>
      <c r="V44" s="8">
        <f t="shared" si="3"/>
        <v>1.5900859977088504</v>
      </c>
    </row>
    <row r="45" spans="1:22">
      <c r="B45" s="62"/>
      <c r="C45" s="62"/>
      <c r="D45" s="62"/>
      <c r="E45" s="62"/>
      <c r="F45" s="62"/>
      <c r="G45" s="62"/>
      <c r="H45" s="62"/>
      <c r="I45" s="62"/>
      <c r="J45" s="62"/>
      <c r="K45" s="62"/>
      <c r="L45" s="62"/>
      <c r="M45" s="62"/>
    </row>
    <row r="46" spans="1:22"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</row>
    <row r="47" spans="1:22">
      <c r="A47" s="8">
        <v>10</v>
      </c>
      <c r="B47" s="70" t="s">
        <v>243</v>
      </c>
      <c r="C47" s="70" t="s">
        <v>187</v>
      </c>
      <c r="D47" s="70" t="s">
        <v>188</v>
      </c>
      <c r="E47" s="70" t="s">
        <v>189</v>
      </c>
      <c r="F47" s="70"/>
      <c r="G47" s="70" t="s">
        <v>190</v>
      </c>
      <c r="H47" s="70" t="s">
        <v>188</v>
      </c>
      <c r="I47" s="70" t="s">
        <v>189</v>
      </c>
      <c r="J47" s="62"/>
      <c r="K47" s="62"/>
      <c r="L47" s="62"/>
      <c r="M47" s="62"/>
    </row>
    <row r="48" spans="1:22">
      <c r="B48" s="67" t="s">
        <v>248</v>
      </c>
      <c r="C48" s="63">
        <v>32.496000000000002</v>
      </c>
      <c r="D48" s="63">
        <v>32.719000000000001</v>
      </c>
      <c r="E48" s="63">
        <v>32.448999999999998</v>
      </c>
      <c r="F48" s="62"/>
      <c r="G48" s="62">
        <v>24.713000000000001</v>
      </c>
      <c r="H48" s="138">
        <v>24.395</v>
      </c>
      <c r="I48" s="62">
        <v>24.318999999999999</v>
      </c>
      <c r="J48" s="62"/>
      <c r="K48" s="62">
        <f t="shared" ref="K48:M49" si="21">C48-G48</f>
        <v>7.7830000000000013</v>
      </c>
      <c r="L48" s="62">
        <f t="shared" si="21"/>
        <v>8.3240000000000016</v>
      </c>
      <c r="M48" s="62">
        <f t="shared" si="21"/>
        <v>8.129999999999999</v>
      </c>
      <c r="O48" s="8">
        <f t="shared" si="1"/>
        <v>8.0790000000000006</v>
      </c>
      <c r="P48" s="8">
        <f t="shared" si="5"/>
        <v>0.27408210448695836</v>
      </c>
      <c r="R48" s="8">
        <f>O48-O48</f>
        <v>0</v>
      </c>
      <c r="T48" s="8">
        <f>POWER(2,-R48)</f>
        <v>1</v>
      </c>
      <c r="V48" s="8">
        <f t="shared" si="3"/>
        <v>0</v>
      </c>
    </row>
    <row r="49" spans="1:22">
      <c r="B49" s="67" t="s">
        <v>249</v>
      </c>
      <c r="C49" s="62">
        <v>34.933</v>
      </c>
      <c r="D49" s="62">
        <v>34.593000000000004</v>
      </c>
      <c r="E49" s="63">
        <v>34.837000000000003</v>
      </c>
      <c r="F49" s="62"/>
      <c r="G49" s="62">
        <v>24.684000000000001</v>
      </c>
      <c r="H49" s="62">
        <v>24.518999999999998</v>
      </c>
      <c r="I49" s="63">
        <v>24.669</v>
      </c>
      <c r="J49" s="62"/>
      <c r="K49" s="62">
        <f t="shared" si="21"/>
        <v>10.248999999999999</v>
      </c>
      <c r="L49" s="62">
        <f t="shared" si="21"/>
        <v>10.074000000000005</v>
      </c>
      <c r="M49" s="62">
        <f t="shared" si="21"/>
        <v>10.168000000000003</v>
      </c>
      <c r="O49" s="8">
        <f t="shared" si="1"/>
        <v>10.16366666666667</v>
      </c>
      <c r="P49" s="8">
        <f t="shared" si="5"/>
        <v>8.7580439216372846E-2</v>
      </c>
      <c r="R49" s="8">
        <f>O49-O48</f>
        <v>2.0846666666666689</v>
      </c>
      <c r="T49" s="8">
        <f t="shared" ref="T49" si="22">POWER(2,-R49)</f>
        <v>0.23575059764145176</v>
      </c>
      <c r="V49" s="8">
        <f t="shared" si="3"/>
        <v>-0.76424940235854821</v>
      </c>
    </row>
    <row r="50" spans="1:22">
      <c r="B50" s="62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</row>
    <row r="51" spans="1:22">
      <c r="B51" s="62"/>
      <c r="C51" s="62"/>
      <c r="D51" s="62"/>
      <c r="E51" s="62"/>
      <c r="F51" s="62"/>
      <c r="G51" s="62"/>
      <c r="H51" s="62"/>
      <c r="I51" s="62"/>
      <c r="J51" s="62"/>
      <c r="K51" s="62"/>
      <c r="L51" s="62"/>
      <c r="M51" s="62"/>
    </row>
    <row r="52" spans="1:22">
      <c r="A52" s="8">
        <v>11</v>
      </c>
      <c r="B52" s="70" t="s">
        <v>244</v>
      </c>
      <c r="C52" s="70" t="s">
        <v>187</v>
      </c>
      <c r="D52" s="70" t="s">
        <v>188</v>
      </c>
      <c r="E52" s="70" t="s">
        <v>189</v>
      </c>
      <c r="F52" s="70"/>
      <c r="G52" s="70" t="s">
        <v>190</v>
      </c>
      <c r="H52" s="70" t="s">
        <v>188</v>
      </c>
      <c r="I52" s="70" t="s">
        <v>189</v>
      </c>
      <c r="J52" s="62"/>
      <c r="K52" s="62"/>
      <c r="L52" s="62"/>
      <c r="M52" s="62"/>
    </row>
    <row r="53" spans="1:22">
      <c r="B53" s="67" t="s">
        <v>248</v>
      </c>
      <c r="C53" s="63">
        <v>28.495000000000001</v>
      </c>
      <c r="D53" s="63">
        <v>28.117999999999999</v>
      </c>
      <c r="E53" s="63">
        <v>28.984000000000002</v>
      </c>
      <c r="F53" s="62"/>
      <c r="G53" s="62">
        <v>24.367999999999999</v>
      </c>
      <c r="H53" s="138">
        <v>24.739000000000001</v>
      </c>
      <c r="I53" s="62">
        <v>24.513000000000002</v>
      </c>
      <c r="J53" s="62"/>
      <c r="K53" s="62">
        <f t="shared" ref="K53:M54" si="23">C53-G53</f>
        <v>4.1270000000000024</v>
      </c>
      <c r="L53" s="62">
        <f t="shared" si="23"/>
        <v>3.3789999999999978</v>
      </c>
      <c r="M53" s="62">
        <f t="shared" si="23"/>
        <v>4.4710000000000001</v>
      </c>
      <c r="O53" s="8">
        <f t="shared" si="1"/>
        <v>3.9923333333333333</v>
      </c>
      <c r="P53" s="8">
        <f t="shared" si="5"/>
        <v>0.55831651715969688</v>
      </c>
      <c r="R53" s="8">
        <f>O53-O53</f>
        <v>0</v>
      </c>
      <c r="T53" s="8">
        <f>POWER(2,-R53)</f>
        <v>1</v>
      </c>
      <c r="V53" s="8">
        <f t="shared" si="3"/>
        <v>0</v>
      </c>
    </row>
    <row r="54" spans="1:22">
      <c r="B54" s="67" t="s">
        <v>249</v>
      </c>
      <c r="C54" s="62">
        <v>29.248000000000001</v>
      </c>
      <c r="D54" s="62">
        <v>29.585999999999999</v>
      </c>
      <c r="E54" s="63">
        <v>29.117999999999999</v>
      </c>
      <c r="F54" s="62"/>
      <c r="G54" s="62">
        <v>24.693000000000001</v>
      </c>
      <c r="H54" s="62">
        <v>24.318999999999999</v>
      </c>
      <c r="I54" s="63">
        <v>24.783999999999999</v>
      </c>
      <c r="J54" s="62"/>
      <c r="K54" s="62">
        <f t="shared" si="23"/>
        <v>4.5549999999999997</v>
      </c>
      <c r="L54" s="62">
        <f t="shared" si="23"/>
        <v>5.2669999999999995</v>
      </c>
      <c r="M54" s="62">
        <f t="shared" si="23"/>
        <v>4.3339999999999996</v>
      </c>
      <c r="O54" s="8">
        <f t="shared" si="1"/>
        <v>4.7186666666666666</v>
      </c>
      <c r="P54" s="8">
        <f t="shared" si="5"/>
        <v>0.48755751797437524</v>
      </c>
      <c r="R54" s="8">
        <f>O54-O53</f>
        <v>0.72633333333333328</v>
      </c>
      <c r="T54" s="8">
        <f t="shared" ref="T54" si="24">POWER(2,-R54)</f>
        <v>0.60443816691146901</v>
      </c>
      <c r="V54" s="8">
        <f t="shared" si="3"/>
        <v>-0.39556183308853099</v>
      </c>
    </row>
    <row r="55" spans="1:22">
      <c r="B55" s="62"/>
      <c r="C55" s="62"/>
      <c r="D55" s="62"/>
      <c r="E55" s="62"/>
      <c r="F55" s="62"/>
      <c r="G55" s="62"/>
      <c r="H55" s="62"/>
      <c r="I55" s="62"/>
      <c r="J55" s="62"/>
      <c r="K55" s="62"/>
      <c r="L55" s="62"/>
      <c r="M55" s="62"/>
    </row>
    <row r="56" spans="1:22">
      <c r="B56" s="62"/>
      <c r="C56" s="62"/>
      <c r="D56" s="62"/>
      <c r="E56" s="62"/>
      <c r="F56" s="62"/>
      <c r="G56" s="62"/>
      <c r="H56" s="62"/>
      <c r="I56" s="62"/>
      <c r="J56" s="62"/>
      <c r="K56" s="62"/>
      <c r="L56" s="62"/>
      <c r="M56" s="62"/>
    </row>
    <row r="57" spans="1:22">
      <c r="A57" s="8">
        <v>12</v>
      </c>
      <c r="B57" s="70" t="s">
        <v>245</v>
      </c>
      <c r="C57" s="70" t="s">
        <v>187</v>
      </c>
      <c r="D57" s="70" t="s">
        <v>188</v>
      </c>
      <c r="E57" s="70" t="s">
        <v>189</v>
      </c>
      <c r="F57" s="70"/>
      <c r="G57" s="70" t="s">
        <v>190</v>
      </c>
      <c r="H57" s="70" t="s">
        <v>188</v>
      </c>
      <c r="I57" s="70" t="s">
        <v>189</v>
      </c>
      <c r="J57" s="62"/>
      <c r="K57" s="62"/>
      <c r="L57" s="62"/>
      <c r="M57" s="62"/>
    </row>
    <row r="58" spans="1:22">
      <c r="B58" s="67" t="s">
        <v>248</v>
      </c>
      <c r="C58" s="63">
        <v>32.683</v>
      </c>
      <c r="D58" s="63">
        <v>32.484999999999999</v>
      </c>
      <c r="E58" s="63">
        <v>32.822000000000003</v>
      </c>
      <c r="F58" s="62"/>
      <c r="G58" s="62">
        <v>24.338999999999999</v>
      </c>
      <c r="H58" s="138">
        <v>24.620999999999999</v>
      </c>
      <c r="I58" s="62">
        <v>24.318999999999999</v>
      </c>
      <c r="J58" s="62"/>
      <c r="K58" s="62">
        <f t="shared" ref="K58:M59" si="25">C58-G58</f>
        <v>8.3440000000000012</v>
      </c>
      <c r="L58" s="62">
        <f t="shared" si="25"/>
        <v>7.8640000000000008</v>
      </c>
      <c r="M58" s="62">
        <f t="shared" si="25"/>
        <v>8.5030000000000037</v>
      </c>
      <c r="O58" s="8">
        <f t="shared" si="1"/>
        <v>8.2370000000000019</v>
      </c>
      <c r="P58" s="8">
        <f t="shared" si="5"/>
        <v>0.33266649966595796</v>
      </c>
      <c r="R58" s="8">
        <f>O58-O58</f>
        <v>0</v>
      </c>
      <c r="T58" s="8">
        <f>POWER(2,-R58)</f>
        <v>1</v>
      </c>
      <c r="V58" s="8">
        <f t="shared" si="3"/>
        <v>0</v>
      </c>
    </row>
    <row r="59" spans="1:22">
      <c r="B59" s="67" t="s">
        <v>249</v>
      </c>
      <c r="C59" s="62">
        <v>33.195</v>
      </c>
      <c r="D59" s="62">
        <v>33.494999999999997</v>
      </c>
      <c r="E59" s="63">
        <v>33.764000000000003</v>
      </c>
      <c r="F59" s="62"/>
      <c r="G59" s="62">
        <v>24.158999999999999</v>
      </c>
      <c r="H59" s="62">
        <v>24.533999999999999</v>
      </c>
      <c r="I59" s="63">
        <v>24.794</v>
      </c>
      <c r="J59" s="62"/>
      <c r="K59" s="62">
        <f t="shared" si="25"/>
        <v>9.0360000000000014</v>
      </c>
      <c r="L59" s="62">
        <f t="shared" si="25"/>
        <v>8.9609999999999985</v>
      </c>
      <c r="M59" s="62">
        <f t="shared" si="25"/>
        <v>8.9700000000000024</v>
      </c>
      <c r="O59" s="8">
        <f t="shared" si="1"/>
        <v>8.9890000000000008</v>
      </c>
      <c r="P59" s="8">
        <f t="shared" si="5"/>
        <v>4.0951190458887267E-2</v>
      </c>
      <c r="R59" s="8">
        <f>O59-O58</f>
        <v>0.75199999999999889</v>
      </c>
      <c r="T59" s="8">
        <f t="shared" ref="T59" si="26">POWER(2,-R59)</f>
        <v>0.59377983303670556</v>
      </c>
      <c r="V59" s="8">
        <f t="shared" si="3"/>
        <v>-0.40622016696329444</v>
      </c>
    </row>
    <row r="60" spans="1:22">
      <c r="B60" s="62"/>
      <c r="C60" s="62"/>
      <c r="D60" s="62"/>
      <c r="E60" s="62"/>
      <c r="F60" s="62"/>
      <c r="G60" s="62"/>
      <c r="H60" s="62"/>
      <c r="I60" s="62"/>
      <c r="J60" s="62"/>
      <c r="K60" s="62"/>
      <c r="L60" s="62"/>
      <c r="M60" s="62"/>
    </row>
    <row r="61" spans="1:22">
      <c r="B61" s="62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2"/>
    </row>
    <row r="62" spans="1:22">
      <c r="A62" s="8">
        <v>13</v>
      </c>
      <c r="B62" s="70" t="s">
        <v>246</v>
      </c>
      <c r="C62" s="70" t="s">
        <v>187</v>
      </c>
      <c r="D62" s="70" t="s">
        <v>188</v>
      </c>
      <c r="E62" s="70" t="s">
        <v>189</v>
      </c>
      <c r="F62" s="70"/>
      <c r="G62" s="70" t="s">
        <v>190</v>
      </c>
      <c r="H62" s="70" t="s">
        <v>188</v>
      </c>
      <c r="I62" s="70" t="s">
        <v>189</v>
      </c>
      <c r="J62" s="62"/>
      <c r="K62" s="62"/>
      <c r="L62" s="62"/>
      <c r="M62" s="62"/>
    </row>
    <row r="63" spans="1:22">
      <c r="B63" s="67" t="s">
        <v>248</v>
      </c>
      <c r="C63" s="63">
        <v>29.486000000000001</v>
      </c>
      <c r="D63" s="63">
        <v>29.148</v>
      </c>
      <c r="E63" s="63">
        <v>29.837</v>
      </c>
      <c r="F63" s="62"/>
      <c r="G63" s="62">
        <v>24.158999999999999</v>
      </c>
      <c r="H63" s="138">
        <v>24.745000000000001</v>
      </c>
      <c r="I63" s="62">
        <v>24.611000000000001</v>
      </c>
      <c r="J63" s="62"/>
      <c r="K63" s="62">
        <f t="shared" ref="K63:M64" si="27">C63-G63</f>
        <v>5.3270000000000017</v>
      </c>
      <c r="L63" s="62">
        <f t="shared" si="27"/>
        <v>4.4029999999999987</v>
      </c>
      <c r="M63" s="62">
        <f t="shared" si="27"/>
        <v>5.2259999999999991</v>
      </c>
      <c r="O63" s="8">
        <f t="shared" si="1"/>
        <v>4.9853333333333332</v>
      </c>
      <c r="P63" s="8">
        <f t="shared" si="5"/>
        <v>0.50683758082183927</v>
      </c>
      <c r="R63" s="8">
        <f>O63-O63</f>
        <v>0</v>
      </c>
      <c r="T63" s="8">
        <f>POWER(2,-R63)</f>
        <v>1</v>
      </c>
      <c r="V63" s="8">
        <f t="shared" si="3"/>
        <v>0</v>
      </c>
    </row>
    <row r="64" spans="1:22">
      <c r="B64" s="67" t="s">
        <v>249</v>
      </c>
      <c r="C64" s="62">
        <v>30.853000000000002</v>
      </c>
      <c r="D64" s="62">
        <v>30.347999999999999</v>
      </c>
      <c r="E64" s="63">
        <v>30.844999999999999</v>
      </c>
      <c r="F64" s="62"/>
      <c r="G64" s="62">
        <v>24.346</v>
      </c>
      <c r="H64" s="62">
        <v>24.536999999999999</v>
      </c>
      <c r="I64" s="63">
        <v>24.562000000000001</v>
      </c>
      <c r="J64" s="62"/>
      <c r="K64" s="62">
        <f t="shared" si="27"/>
        <v>6.5070000000000014</v>
      </c>
      <c r="L64" s="62">
        <f t="shared" si="27"/>
        <v>5.8109999999999999</v>
      </c>
      <c r="M64" s="62">
        <f t="shared" si="27"/>
        <v>6.2829999999999977</v>
      </c>
      <c r="O64" s="8">
        <f t="shared" si="1"/>
        <v>6.200333333333333</v>
      </c>
      <c r="P64" s="8">
        <f t="shared" si="5"/>
        <v>0.35528767686669577</v>
      </c>
      <c r="R64" s="8">
        <f>O64-O63</f>
        <v>1.2149999999999999</v>
      </c>
      <c r="T64" s="8">
        <f t="shared" ref="T64" si="28">POWER(2,-R64)</f>
        <v>0.43077307985600866</v>
      </c>
      <c r="V64" s="8">
        <f t="shared" si="3"/>
        <v>-0.56922692014399134</v>
      </c>
    </row>
    <row r="65" spans="2:13">
      <c r="B65" s="62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</row>
    <row r="66" spans="2:13">
      <c r="B66" s="62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</row>
    <row r="67" spans="2:13">
      <c r="B67" s="70"/>
      <c r="C67" s="70"/>
      <c r="D67" s="70"/>
      <c r="E67" s="70"/>
      <c r="F67" s="70"/>
      <c r="G67" s="70"/>
      <c r="H67" s="70"/>
      <c r="I67" s="70"/>
      <c r="J67" s="62"/>
      <c r="K67" s="62"/>
      <c r="L67" s="62"/>
      <c r="M67" s="62"/>
    </row>
    <row r="68" spans="2:13">
      <c r="B68" s="62"/>
      <c r="C68" s="63"/>
      <c r="D68" s="63"/>
      <c r="E68" s="63"/>
      <c r="F68" s="62"/>
      <c r="G68" s="62"/>
      <c r="H68" s="62"/>
      <c r="I68" s="62"/>
      <c r="J68" s="62"/>
    </row>
    <row r="69" spans="2:13">
      <c r="B69" s="62"/>
      <c r="C69" s="62"/>
      <c r="D69" s="62"/>
      <c r="E69" s="63"/>
      <c r="F69" s="62"/>
      <c r="G69" s="62"/>
      <c r="H69" s="62"/>
      <c r="I69" s="63"/>
      <c r="J69" s="62"/>
    </row>
    <row r="70" spans="2:13">
      <c r="B70" s="62"/>
      <c r="C70" s="62"/>
      <c r="D70" s="62"/>
      <c r="E70" s="62"/>
      <c r="F70" s="62"/>
      <c r="G70" s="62"/>
      <c r="H70" s="62"/>
      <c r="I70" s="62"/>
      <c r="J70" s="62"/>
    </row>
    <row r="71" spans="2:13">
      <c r="B71" s="62"/>
      <c r="C71" s="62"/>
      <c r="D71" s="62"/>
      <c r="E71" s="62"/>
      <c r="F71" s="62"/>
      <c r="G71" s="62"/>
      <c r="H71" s="62"/>
      <c r="I71" s="62"/>
      <c r="J71" s="62"/>
    </row>
    <row r="72" spans="2:13">
      <c r="B72" s="62"/>
      <c r="C72" s="62"/>
      <c r="D72" s="62"/>
      <c r="E72" s="62"/>
      <c r="F72" s="62"/>
      <c r="G72" s="62"/>
      <c r="H72" s="62"/>
      <c r="I72" s="62"/>
      <c r="J72" s="62"/>
    </row>
    <row r="73" spans="2:13">
      <c r="B73" s="62"/>
      <c r="C73" s="62"/>
      <c r="D73" s="62"/>
      <c r="E73" s="62"/>
      <c r="F73" s="62"/>
      <c r="G73" s="62"/>
      <c r="H73" s="62"/>
      <c r="I73" s="62"/>
      <c r="J73" s="62"/>
    </row>
    <row r="74" spans="2:13">
      <c r="B74" s="62"/>
      <c r="C74" s="62"/>
      <c r="D74" s="62"/>
      <c r="E74" s="62"/>
      <c r="F74" s="62"/>
      <c r="G74" s="62"/>
      <c r="H74" s="62"/>
      <c r="I74" s="62"/>
      <c r="J74" s="62"/>
    </row>
    <row r="75" spans="2:13"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</row>
    <row r="76" spans="2:13">
      <c r="B76" s="62"/>
      <c r="C76" s="62"/>
      <c r="D76" s="62"/>
      <c r="E76" s="62"/>
      <c r="F76" s="62"/>
      <c r="G76" s="62"/>
      <c r="H76" s="62"/>
      <c r="I76" s="62"/>
      <c r="J76" s="62"/>
      <c r="K76" s="62"/>
      <c r="L76" s="62"/>
      <c r="M76" s="62"/>
    </row>
    <row r="77" spans="2:13">
      <c r="B77" s="62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</row>
    <row r="78" spans="2:13">
      <c r="B78" s="62"/>
      <c r="C78" s="62"/>
      <c r="D78" s="62"/>
      <c r="E78" s="62"/>
      <c r="F78" s="62"/>
      <c r="G78" s="62"/>
      <c r="H78" s="62"/>
      <c r="I78" s="63"/>
      <c r="J78" s="63"/>
      <c r="K78" s="63"/>
      <c r="L78" s="62"/>
      <c r="M78" s="62"/>
    </row>
    <row r="79" spans="2:13">
      <c r="B79" s="62"/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</row>
    <row r="80" spans="2:13">
      <c r="B80" s="62"/>
      <c r="C80" s="62"/>
      <c r="D80" s="62"/>
      <c r="E80" s="62"/>
      <c r="F80" s="62"/>
      <c r="G80" s="62"/>
      <c r="H80" s="62"/>
      <c r="I80" s="62"/>
      <c r="J80" s="62"/>
      <c r="K80" s="62"/>
      <c r="L80" s="62"/>
      <c r="M80" s="62"/>
    </row>
    <row r="81" spans="2:13">
      <c r="B81" s="62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</row>
    <row r="82" spans="2:13">
      <c r="B82" s="62"/>
      <c r="C82" s="62"/>
      <c r="D82" s="62"/>
      <c r="E82" s="62"/>
      <c r="F82" s="62"/>
      <c r="G82" s="62"/>
      <c r="H82" s="62"/>
      <c r="I82" s="62"/>
      <c r="J82" s="62"/>
      <c r="K82" s="62"/>
      <c r="L82" s="62"/>
      <c r="M82" s="62"/>
    </row>
    <row r="83" spans="2:13">
      <c r="B83" s="62"/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</row>
    <row r="84" spans="2:13">
      <c r="B84" s="62"/>
      <c r="C84" s="62"/>
      <c r="D84" s="62"/>
      <c r="E84" s="62"/>
      <c r="F84" s="62"/>
      <c r="G84" s="62"/>
      <c r="H84" s="62"/>
      <c r="I84" s="62"/>
      <c r="J84" s="62"/>
      <c r="K84" s="62"/>
      <c r="L84" s="62"/>
      <c r="M84" s="62"/>
    </row>
    <row r="85" spans="2:13">
      <c r="B85" s="62"/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</row>
    <row r="86" spans="2:13">
      <c r="B86" s="70"/>
      <c r="C86" s="70"/>
      <c r="D86" s="70"/>
      <c r="E86" s="70"/>
      <c r="F86" s="70"/>
      <c r="G86" s="70"/>
      <c r="H86" s="70"/>
      <c r="I86" s="70"/>
      <c r="J86" s="62"/>
      <c r="K86" s="62"/>
      <c r="L86" s="62"/>
      <c r="M86" s="62"/>
    </row>
    <row r="87" spans="2:13">
      <c r="B87" s="62"/>
      <c r="C87" s="63"/>
      <c r="D87" s="63"/>
      <c r="E87" s="63"/>
      <c r="F87" s="62"/>
      <c r="G87" s="62"/>
      <c r="H87" s="138"/>
      <c r="I87" s="62"/>
      <c r="J87" s="62"/>
      <c r="K87" s="62"/>
      <c r="L87" s="62"/>
      <c r="M87" s="62"/>
    </row>
    <row r="88" spans="2:13">
      <c r="B88" s="62"/>
      <c r="C88" s="62"/>
      <c r="D88" s="62"/>
      <c r="E88" s="63"/>
      <c r="F88" s="62"/>
      <c r="G88" s="62"/>
      <c r="H88" s="62"/>
      <c r="I88" s="63"/>
      <c r="J88" s="62"/>
      <c r="K88" s="62"/>
      <c r="L88" s="62"/>
      <c r="M88" s="62"/>
    </row>
    <row r="89" spans="2:13">
      <c r="B89" s="62"/>
      <c r="C89" s="62"/>
      <c r="D89" s="62"/>
      <c r="E89" s="62"/>
      <c r="F89" s="62"/>
      <c r="G89" s="62"/>
      <c r="H89" s="62"/>
      <c r="I89" s="62"/>
      <c r="J89" s="62"/>
      <c r="K89" s="62"/>
      <c r="L89" s="62"/>
      <c r="M89" s="62"/>
    </row>
    <row r="90" spans="2:13">
      <c r="B90" s="70"/>
      <c r="C90" s="70"/>
      <c r="D90" s="70"/>
      <c r="E90" s="70"/>
      <c r="F90" s="70"/>
      <c r="G90" s="70"/>
      <c r="H90" s="70"/>
      <c r="I90" s="70"/>
      <c r="J90" s="62"/>
      <c r="K90" s="62"/>
      <c r="L90" s="62"/>
      <c r="M90" s="62"/>
    </row>
    <row r="91" spans="2:13">
      <c r="B91" s="62"/>
      <c r="C91" s="62"/>
      <c r="D91" s="62"/>
      <c r="E91" s="63"/>
      <c r="F91" s="62"/>
      <c r="G91" s="62"/>
      <c r="H91" s="138"/>
      <c r="I91" s="62"/>
      <c r="J91" s="62"/>
      <c r="K91" s="62"/>
      <c r="L91" s="62"/>
      <c r="M91" s="62"/>
    </row>
    <row r="92" spans="2:13">
      <c r="B92" s="62"/>
      <c r="C92" s="62"/>
      <c r="D92" s="62"/>
      <c r="E92" s="63"/>
      <c r="F92" s="62"/>
      <c r="G92" s="62"/>
      <c r="H92" s="62"/>
      <c r="I92" s="63"/>
      <c r="J92" s="62"/>
      <c r="K92" s="62"/>
      <c r="L92" s="62"/>
      <c r="M92" s="62"/>
    </row>
    <row r="93" spans="2:13"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</row>
    <row r="94" spans="2:13"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</row>
  </sheetData>
  <mergeCells count="2">
    <mergeCell ref="C3:E3"/>
    <mergeCell ref="G3:I3"/>
  </mergeCell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9"/>
  <sheetViews>
    <sheetView topLeftCell="A19" workbookViewId="0">
      <selection activeCell="A8" sqref="A8"/>
    </sheetView>
  </sheetViews>
  <sheetFormatPr defaultRowHeight="15"/>
  <cols>
    <col min="1" max="1" width="58.140625" customWidth="1"/>
  </cols>
  <sheetData>
    <row r="1" spans="1:36">
      <c r="A1" s="1" t="s">
        <v>624</v>
      </c>
    </row>
    <row r="2" spans="1:36">
      <c r="A2" s="1"/>
    </row>
    <row r="3" spans="1:36">
      <c r="A3" s="1" t="s">
        <v>625</v>
      </c>
    </row>
    <row r="4" spans="1:36">
      <c r="A4" s="1"/>
    </row>
    <row r="5" spans="1:36">
      <c r="A5" s="1" t="s">
        <v>626</v>
      </c>
    </row>
    <row r="6" spans="1:36">
      <c r="A6" s="1" t="s">
        <v>627</v>
      </c>
    </row>
    <row r="7" spans="1:36">
      <c r="A7" s="1" t="s">
        <v>628</v>
      </c>
    </row>
    <row r="8" spans="1:36">
      <c r="A8" s="1"/>
    </row>
    <row r="9" spans="1:36">
      <c r="A9" s="1"/>
    </row>
    <row r="10" spans="1:36">
      <c r="A10" s="1"/>
      <c r="B10" s="1" t="s">
        <v>312</v>
      </c>
      <c r="C10" s="1"/>
      <c r="D10" s="1"/>
      <c r="E10" s="1"/>
      <c r="F10" s="1"/>
      <c r="G10" s="1"/>
      <c r="H10" s="1"/>
      <c r="I10" s="1"/>
      <c r="J10" s="1" t="s">
        <v>202</v>
      </c>
      <c r="K10" s="1"/>
      <c r="L10" s="1"/>
      <c r="M10" s="1"/>
      <c r="N10" s="1"/>
      <c r="O10" s="1"/>
      <c r="P10" s="1"/>
      <c r="Q10" s="1"/>
      <c r="R10" s="1" t="s">
        <v>200</v>
      </c>
      <c r="S10" s="1"/>
      <c r="AB10" s="1"/>
    </row>
    <row r="11" spans="1:36">
      <c r="B11" t="s">
        <v>629</v>
      </c>
      <c r="D11" t="s">
        <v>308</v>
      </c>
      <c r="F11" t="s">
        <v>309</v>
      </c>
      <c r="H11" t="s">
        <v>310</v>
      </c>
      <c r="J11" t="s">
        <v>629</v>
      </c>
      <c r="L11" t="s">
        <v>308</v>
      </c>
      <c r="N11" t="s">
        <v>309</v>
      </c>
      <c r="P11" t="s">
        <v>310</v>
      </c>
      <c r="R11" t="s">
        <v>629</v>
      </c>
      <c r="T11" t="s">
        <v>308</v>
      </c>
      <c r="V11" t="s">
        <v>309</v>
      </c>
      <c r="X11" t="s">
        <v>310</v>
      </c>
      <c r="AB11" s="1"/>
      <c r="AC11" s="1"/>
      <c r="AD11" s="1"/>
      <c r="AE11" s="1"/>
      <c r="AF11" s="1"/>
      <c r="AG11" s="1"/>
      <c r="AH11" s="1"/>
      <c r="AI11" s="1"/>
      <c r="AJ11" s="1"/>
    </row>
    <row r="12" spans="1:36">
      <c r="A12" s="1" t="s">
        <v>169</v>
      </c>
      <c r="B12">
        <v>9.4299999999999995E-2</v>
      </c>
      <c r="C12">
        <v>9.2799999999999994E-2</v>
      </c>
      <c r="D12">
        <v>9.5399999999999999E-2</v>
      </c>
      <c r="E12">
        <v>9.2799999999999994E-2</v>
      </c>
      <c r="F12">
        <v>3.4299999999999997E-2</v>
      </c>
      <c r="G12">
        <v>3.5950000000000003E-2</v>
      </c>
      <c r="H12">
        <v>1.24E-2</v>
      </c>
      <c r="I12">
        <v>4.2000000000000003E-2</v>
      </c>
      <c r="J12">
        <v>5.9299999999999999E-2</v>
      </c>
      <c r="K12">
        <v>3.4000000000000002E-2</v>
      </c>
      <c r="L12">
        <v>4.9299999999999997E-2</v>
      </c>
      <c r="M12">
        <v>5.9299999999999999E-2</v>
      </c>
      <c r="N12">
        <v>5.8599999999999999E-2</v>
      </c>
      <c r="O12">
        <v>6.3E-2</v>
      </c>
      <c r="P12">
        <v>2.9399999999999999E-2</v>
      </c>
      <c r="Q12">
        <v>4.9299999999999997E-2</v>
      </c>
      <c r="R12">
        <v>4.4200000000000003E-2</v>
      </c>
      <c r="S12">
        <v>8.5000000000000006E-2</v>
      </c>
      <c r="T12">
        <v>8.8400000000000006E-2</v>
      </c>
      <c r="U12">
        <v>6.4000000000000001E-2</v>
      </c>
      <c r="V12">
        <v>3.5299999999999998E-2</v>
      </c>
      <c r="W12">
        <v>4.4999999999999998E-2</v>
      </c>
      <c r="X12">
        <v>2.3900000000000001E-2</v>
      </c>
      <c r="Y12">
        <v>5.8000000000000003E-2</v>
      </c>
    </row>
    <row r="13" spans="1:36">
      <c r="A13" s="1" t="s">
        <v>170</v>
      </c>
      <c r="B13">
        <v>3.9399999999999998E-2</v>
      </c>
      <c r="C13">
        <v>3.1919999999999997E-2</v>
      </c>
      <c r="D13">
        <v>4.8500000000000001E-2</v>
      </c>
      <c r="E13">
        <v>4.3299999999999998E-2</v>
      </c>
      <c r="F13">
        <v>1.29E-2</v>
      </c>
      <c r="G13">
        <v>1.3299999999999999E-2</v>
      </c>
      <c r="H13">
        <v>2.1299999999999999E-2</v>
      </c>
      <c r="I13">
        <v>4.9299999999999997E-2</v>
      </c>
      <c r="J13">
        <v>3.9399999999999998E-2</v>
      </c>
      <c r="K13">
        <v>5.9299999999999999E-2</v>
      </c>
      <c r="L13">
        <v>1.49E-2</v>
      </c>
      <c r="M13">
        <v>5.33E-2</v>
      </c>
      <c r="N13">
        <v>8.4199999999999997E-2</v>
      </c>
      <c r="O13">
        <v>4.9000000000000002E-2</v>
      </c>
      <c r="P13">
        <v>2.3199999999999998E-2</v>
      </c>
      <c r="Q13">
        <v>5.9400000000000001E-2</v>
      </c>
      <c r="R13">
        <v>1.4200000000000001E-2</v>
      </c>
      <c r="S13">
        <v>3.9E-2</v>
      </c>
      <c r="T13">
        <v>1.32E-2</v>
      </c>
      <c r="U13">
        <v>5.8999999999999997E-2</v>
      </c>
      <c r="V13">
        <v>1.24E-2</v>
      </c>
      <c r="W13">
        <v>8.4000000000000005E-2</v>
      </c>
      <c r="X13">
        <v>2.3400000000000001E-2</v>
      </c>
      <c r="Y13">
        <v>4.8500000000000001E-2</v>
      </c>
    </row>
    <row r="14" spans="1:36">
      <c r="A14" s="1" t="s">
        <v>204</v>
      </c>
      <c r="B14">
        <v>0.86499999999999999</v>
      </c>
      <c r="C14">
        <v>0.83399999999999996</v>
      </c>
      <c r="D14">
        <v>0.84199999999999997</v>
      </c>
      <c r="E14">
        <v>0.86199999999999999</v>
      </c>
      <c r="F14">
        <v>0.77500000000000002</v>
      </c>
      <c r="G14">
        <v>0.78300000000000003</v>
      </c>
      <c r="H14">
        <v>0.94799999999999995</v>
      </c>
      <c r="I14">
        <v>0.92</v>
      </c>
      <c r="J14">
        <v>0.84340000000000004</v>
      </c>
      <c r="K14">
        <v>0.82899999999999996</v>
      </c>
      <c r="L14">
        <v>0.59899999999999998</v>
      </c>
      <c r="M14">
        <v>0.53900000000000003</v>
      </c>
      <c r="N14">
        <v>0.84599999999999997</v>
      </c>
      <c r="O14">
        <v>0.83240000000000003</v>
      </c>
      <c r="P14">
        <v>0.48499999999999999</v>
      </c>
      <c r="Q14">
        <v>0.55300000000000005</v>
      </c>
      <c r="R14">
        <v>0.59599999999999997</v>
      </c>
      <c r="S14">
        <v>0.53400000000000003</v>
      </c>
      <c r="T14">
        <v>0.98399999999999999</v>
      </c>
      <c r="U14">
        <v>0.92300000000000004</v>
      </c>
      <c r="V14">
        <v>0.88400000000000001</v>
      </c>
      <c r="W14">
        <v>0.84299999999999997</v>
      </c>
      <c r="X14">
        <v>0.74850000000000005</v>
      </c>
      <c r="Y14">
        <v>0.78320000000000001</v>
      </c>
    </row>
    <row r="15" spans="1:36">
      <c r="A15" s="1" t="s">
        <v>313</v>
      </c>
      <c r="B15">
        <v>0.85599999999999998</v>
      </c>
      <c r="C15">
        <v>0.82299999999999995</v>
      </c>
      <c r="D15">
        <v>0.75800000000000001</v>
      </c>
      <c r="E15">
        <v>0.78400000000000003</v>
      </c>
      <c r="F15">
        <v>0.68700000000000006</v>
      </c>
      <c r="G15">
        <v>0.69299999999999995</v>
      </c>
      <c r="H15">
        <v>0.875</v>
      </c>
      <c r="I15">
        <v>0.84899999999999998</v>
      </c>
      <c r="J15">
        <v>0.78400000000000003</v>
      </c>
      <c r="K15">
        <v>0.73219999999999996</v>
      </c>
      <c r="L15">
        <v>0.95450000000000002</v>
      </c>
      <c r="M15">
        <v>0.94399999999999995</v>
      </c>
      <c r="N15">
        <v>0.95699999999999996</v>
      </c>
      <c r="O15">
        <v>0.99199999999999999</v>
      </c>
      <c r="P15">
        <v>0.69399999999999995</v>
      </c>
      <c r="Q15">
        <v>0.56899999999999995</v>
      </c>
      <c r="R15">
        <v>0.91100000000000003</v>
      </c>
      <c r="S15">
        <v>0.95399999999999996</v>
      </c>
      <c r="T15">
        <v>1.1919999999999999</v>
      </c>
      <c r="U15">
        <v>1.149</v>
      </c>
      <c r="V15">
        <v>0.875</v>
      </c>
      <c r="W15">
        <v>0.82399999999999995</v>
      </c>
      <c r="X15">
        <v>0.91400000000000003</v>
      </c>
      <c r="Y15">
        <v>0.91239999999999999</v>
      </c>
    </row>
    <row r="16" spans="1:36">
      <c r="A16" s="1" t="s">
        <v>313</v>
      </c>
      <c r="B16">
        <v>0.78500000000000003</v>
      </c>
      <c r="C16">
        <v>0.79300000000000004</v>
      </c>
      <c r="D16">
        <v>0.59699999999999998</v>
      </c>
      <c r="E16">
        <v>0.53900000000000003</v>
      </c>
      <c r="F16">
        <v>0.98440000000000005</v>
      </c>
      <c r="G16">
        <v>0.93400000000000005</v>
      </c>
      <c r="H16">
        <v>1.1439999999999999</v>
      </c>
      <c r="I16">
        <v>1.244</v>
      </c>
      <c r="J16">
        <v>1.1935</v>
      </c>
      <c r="K16">
        <v>1.1294</v>
      </c>
      <c r="L16">
        <v>1.139</v>
      </c>
      <c r="N16">
        <v>1.2410000000000001</v>
      </c>
      <c r="O16">
        <v>1.264</v>
      </c>
      <c r="P16">
        <v>0.94850000000000001</v>
      </c>
      <c r="Q16">
        <v>0.85599999999999998</v>
      </c>
      <c r="R16">
        <v>1.9530000000000001</v>
      </c>
      <c r="S16">
        <v>1.895</v>
      </c>
      <c r="T16">
        <v>1.7849999999999999</v>
      </c>
      <c r="U16">
        <v>1.758</v>
      </c>
      <c r="V16">
        <v>1.7012</v>
      </c>
      <c r="W16">
        <v>1.7829999999999999</v>
      </c>
      <c r="X16">
        <v>1.3184</v>
      </c>
      <c r="Y16">
        <v>1.3485</v>
      </c>
    </row>
    <row r="17" spans="1:29">
      <c r="A17" s="1"/>
    </row>
    <row r="18" spans="1:29">
      <c r="A18" s="1" t="s">
        <v>630</v>
      </c>
    </row>
    <row r="19" spans="1:29">
      <c r="A19" s="1"/>
      <c r="B19">
        <f>AVERAGE(B12:C12)</f>
        <v>9.3549999999999994E-2</v>
      </c>
      <c r="D19">
        <f t="shared" ref="D19:X19" si="0">AVERAGE(D12:E12)</f>
        <v>9.4099999999999989E-2</v>
      </c>
      <c r="F19">
        <f t="shared" si="0"/>
        <v>3.5125000000000003E-2</v>
      </c>
      <c r="H19">
        <f t="shared" si="0"/>
        <v>2.7200000000000002E-2</v>
      </c>
      <c r="J19">
        <f t="shared" si="0"/>
        <v>4.6649999999999997E-2</v>
      </c>
      <c r="L19">
        <f t="shared" si="0"/>
        <v>5.4300000000000001E-2</v>
      </c>
      <c r="N19">
        <f t="shared" si="0"/>
        <v>6.08E-2</v>
      </c>
      <c r="P19">
        <f t="shared" si="0"/>
        <v>3.9349999999999996E-2</v>
      </c>
      <c r="R19">
        <f t="shared" si="0"/>
        <v>6.4600000000000005E-2</v>
      </c>
      <c r="T19">
        <f t="shared" si="0"/>
        <v>7.6200000000000004E-2</v>
      </c>
      <c r="V19">
        <f t="shared" si="0"/>
        <v>4.0149999999999998E-2</v>
      </c>
      <c r="X19">
        <f t="shared" si="0"/>
        <v>4.095E-2</v>
      </c>
    </row>
    <row r="20" spans="1:29">
      <c r="A20" s="1"/>
      <c r="B20">
        <f t="shared" ref="B20:X23" si="1">AVERAGE(B13:C13)</f>
        <v>3.5659999999999997E-2</v>
      </c>
      <c r="D20">
        <f t="shared" si="1"/>
        <v>4.5899999999999996E-2</v>
      </c>
      <c r="F20">
        <f t="shared" si="1"/>
        <v>1.3100000000000001E-2</v>
      </c>
      <c r="H20">
        <f t="shared" si="1"/>
        <v>3.5299999999999998E-2</v>
      </c>
      <c r="J20">
        <f t="shared" si="1"/>
        <v>4.9349999999999998E-2</v>
      </c>
      <c r="L20">
        <f t="shared" si="1"/>
        <v>3.4099999999999998E-2</v>
      </c>
      <c r="N20">
        <f t="shared" si="1"/>
        <v>6.6599999999999993E-2</v>
      </c>
      <c r="P20">
        <f t="shared" si="1"/>
        <v>4.1300000000000003E-2</v>
      </c>
      <c r="R20">
        <f t="shared" si="1"/>
        <v>2.6599999999999999E-2</v>
      </c>
      <c r="T20">
        <f t="shared" si="1"/>
        <v>3.61E-2</v>
      </c>
      <c r="V20">
        <f t="shared" si="1"/>
        <v>4.82E-2</v>
      </c>
      <c r="X20">
        <f t="shared" si="1"/>
        <v>3.5950000000000003E-2</v>
      </c>
    </row>
    <row r="21" spans="1:29">
      <c r="A21" s="1"/>
      <c r="B21">
        <f t="shared" si="1"/>
        <v>0.84949999999999992</v>
      </c>
      <c r="D21">
        <f t="shared" si="1"/>
        <v>0.85199999999999998</v>
      </c>
      <c r="F21">
        <f t="shared" si="1"/>
        <v>0.77900000000000003</v>
      </c>
      <c r="H21">
        <f t="shared" si="1"/>
        <v>0.93399999999999994</v>
      </c>
      <c r="J21">
        <f t="shared" si="1"/>
        <v>0.83620000000000005</v>
      </c>
      <c r="L21">
        <f t="shared" si="1"/>
        <v>0.56899999999999995</v>
      </c>
      <c r="N21">
        <f t="shared" si="1"/>
        <v>0.83919999999999995</v>
      </c>
      <c r="P21">
        <f t="shared" si="1"/>
        <v>0.51900000000000002</v>
      </c>
      <c r="R21">
        <f t="shared" si="1"/>
        <v>0.56499999999999995</v>
      </c>
      <c r="T21">
        <f t="shared" si="1"/>
        <v>0.95350000000000001</v>
      </c>
      <c r="V21">
        <f t="shared" si="1"/>
        <v>0.86349999999999993</v>
      </c>
      <c r="X21">
        <f t="shared" si="1"/>
        <v>0.76585000000000003</v>
      </c>
    </row>
    <row r="22" spans="1:29">
      <c r="A22" s="1"/>
      <c r="B22">
        <f t="shared" si="1"/>
        <v>0.83949999999999991</v>
      </c>
      <c r="D22">
        <f t="shared" si="1"/>
        <v>0.77100000000000002</v>
      </c>
      <c r="F22">
        <f t="shared" si="1"/>
        <v>0.69</v>
      </c>
      <c r="H22">
        <f t="shared" si="1"/>
        <v>0.86199999999999999</v>
      </c>
      <c r="J22">
        <f t="shared" si="1"/>
        <v>0.7581</v>
      </c>
      <c r="L22">
        <f t="shared" si="1"/>
        <v>0.94924999999999993</v>
      </c>
      <c r="N22">
        <f t="shared" si="1"/>
        <v>0.97449999999999992</v>
      </c>
      <c r="P22">
        <f t="shared" si="1"/>
        <v>0.63149999999999995</v>
      </c>
      <c r="R22">
        <f t="shared" si="1"/>
        <v>0.9325</v>
      </c>
      <c r="T22">
        <f t="shared" si="1"/>
        <v>1.1705000000000001</v>
      </c>
      <c r="V22">
        <f t="shared" si="1"/>
        <v>0.84949999999999992</v>
      </c>
      <c r="X22">
        <f t="shared" si="1"/>
        <v>0.91320000000000001</v>
      </c>
    </row>
    <row r="23" spans="1:29">
      <c r="A23" s="1"/>
      <c r="B23">
        <f t="shared" si="1"/>
        <v>0.78900000000000003</v>
      </c>
      <c r="D23">
        <f t="shared" si="1"/>
        <v>0.56800000000000006</v>
      </c>
      <c r="F23">
        <f t="shared" si="1"/>
        <v>0.95920000000000005</v>
      </c>
      <c r="H23">
        <f t="shared" si="1"/>
        <v>1.194</v>
      </c>
      <c r="J23">
        <f t="shared" si="1"/>
        <v>1.1614499999999999</v>
      </c>
      <c r="L23">
        <f t="shared" si="1"/>
        <v>1.139</v>
      </c>
      <c r="N23">
        <f t="shared" si="1"/>
        <v>1.2524999999999999</v>
      </c>
      <c r="P23">
        <f t="shared" si="1"/>
        <v>0.90225</v>
      </c>
      <c r="R23">
        <f t="shared" si="1"/>
        <v>1.9239999999999999</v>
      </c>
      <c r="T23">
        <f t="shared" si="1"/>
        <v>1.7715000000000001</v>
      </c>
      <c r="V23">
        <f t="shared" si="1"/>
        <v>1.7421</v>
      </c>
      <c r="X23">
        <f t="shared" si="1"/>
        <v>1.33345</v>
      </c>
    </row>
    <row r="24" spans="1:29">
      <c r="A24" s="1"/>
    </row>
    <row r="25" spans="1:29">
      <c r="A25" s="1"/>
    </row>
    <row r="26" spans="1:29">
      <c r="A26" s="1"/>
    </row>
    <row r="27" spans="1:29">
      <c r="A27" s="1"/>
      <c r="Z27" s="1"/>
      <c r="AA27" s="1"/>
      <c r="AB27" s="1"/>
      <c r="AC27" s="1"/>
    </row>
    <row r="28" spans="1:29">
      <c r="A28" s="1" t="s">
        <v>631</v>
      </c>
      <c r="B28">
        <f>B19-0.017</f>
        <v>7.6549999999999993E-2</v>
      </c>
      <c r="D28">
        <f t="shared" ref="D28:X28" si="2">D19-0.017</f>
        <v>7.7099999999999988E-2</v>
      </c>
      <c r="F28">
        <f t="shared" si="2"/>
        <v>1.8125000000000002E-2</v>
      </c>
      <c r="H28">
        <f t="shared" si="2"/>
        <v>1.0200000000000001E-2</v>
      </c>
      <c r="J28">
        <f t="shared" si="2"/>
        <v>2.9649999999999996E-2</v>
      </c>
      <c r="L28">
        <f t="shared" si="2"/>
        <v>3.73E-2</v>
      </c>
      <c r="N28">
        <f t="shared" si="2"/>
        <v>4.3799999999999999E-2</v>
      </c>
      <c r="P28">
        <f t="shared" si="2"/>
        <v>2.2349999999999995E-2</v>
      </c>
      <c r="R28">
        <f t="shared" si="2"/>
        <v>4.7600000000000003E-2</v>
      </c>
      <c r="T28">
        <f t="shared" si="2"/>
        <v>5.9200000000000003E-2</v>
      </c>
      <c r="V28">
        <f t="shared" si="2"/>
        <v>2.3149999999999997E-2</v>
      </c>
      <c r="X28">
        <f t="shared" si="2"/>
        <v>2.3949999999999999E-2</v>
      </c>
    </row>
    <row r="29" spans="1:29">
      <c r="A29" s="1"/>
      <c r="B29">
        <f t="shared" ref="B29:X32" si="3">B20-0.017</f>
        <v>1.8659999999999996E-2</v>
      </c>
      <c r="D29">
        <f t="shared" si="3"/>
        <v>2.8899999999999995E-2</v>
      </c>
      <c r="F29">
        <f t="shared" si="3"/>
        <v>-3.9000000000000007E-3</v>
      </c>
      <c r="H29">
        <f t="shared" si="3"/>
        <v>1.8299999999999997E-2</v>
      </c>
      <c r="J29">
        <f t="shared" si="3"/>
        <v>3.2349999999999997E-2</v>
      </c>
      <c r="L29">
        <f t="shared" si="3"/>
        <v>1.7099999999999997E-2</v>
      </c>
      <c r="N29">
        <f t="shared" si="3"/>
        <v>4.9599999999999991E-2</v>
      </c>
      <c r="P29">
        <f t="shared" si="3"/>
        <v>2.4300000000000002E-2</v>
      </c>
      <c r="R29">
        <f t="shared" si="3"/>
        <v>9.5999999999999974E-3</v>
      </c>
      <c r="T29">
        <f t="shared" si="3"/>
        <v>1.9099999999999999E-2</v>
      </c>
      <c r="V29">
        <f t="shared" si="3"/>
        <v>3.1199999999999999E-2</v>
      </c>
      <c r="X29">
        <f t="shared" si="3"/>
        <v>1.8950000000000002E-2</v>
      </c>
    </row>
    <row r="30" spans="1:29">
      <c r="A30" s="1"/>
      <c r="B30">
        <f t="shared" si="3"/>
        <v>0.83249999999999991</v>
      </c>
      <c r="D30">
        <f t="shared" si="3"/>
        <v>0.83499999999999996</v>
      </c>
      <c r="F30">
        <f t="shared" si="3"/>
        <v>0.76200000000000001</v>
      </c>
      <c r="H30">
        <f t="shared" si="3"/>
        <v>0.91699999999999993</v>
      </c>
      <c r="J30">
        <f t="shared" si="3"/>
        <v>0.81920000000000004</v>
      </c>
      <c r="L30">
        <f t="shared" si="3"/>
        <v>0.55199999999999994</v>
      </c>
      <c r="N30">
        <f t="shared" si="3"/>
        <v>0.82219999999999993</v>
      </c>
      <c r="P30">
        <f t="shared" si="3"/>
        <v>0.502</v>
      </c>
      <c r="R30">
        <f t="shared" si="3"/>
        <v>0.54799999999999993</v>
      </c>
      <c r="T30">
        <f t="shared" si="3"/>
        <v>0.9365</v>
      </c>
      <c r="V30">
        <f t="shared" si="3"/>
        <v>0.84649999999999992</v>
      </c>
      <c r="X30">
        <f t="shared" si="3"/>
        <v>0.74885000000000002</v>
      </c>
    </row>
    <row r="31" spans="1:29">
      <c r="A31" s="1"/>
      <c r="B31">
        <f t="shared" si="3"/>
        <v>0.8224999999999999</v>
      </c>
      <c r="D31">
        <f t="shared" si="3"/>
        <v>0.754</v>
      </c>
      <c r="F31">
        <f t="shared" si="3"/>
        <v>0.67299999999999993</v>
      </c>
      <c r="H31">
        <f t="shared" si="3"/>
        <v>0.84499999999999997</v>
      </c>
      <c r="J31">
        <f t="shared" si="3"/>
        <v>0.74109999999999998</v>
      </c>
      <c r="L31">
        <f t="shared" si="3"/>
        <v>0.93224999999999991</v>
      </c>
      <c r="N31">
        <f t="shared" si="3"/>
        <v>0.95749999999999991</v>
      </c>
      <c r="P31">
        <f t="shared" si="3"/>
        <v>0.61449999999999994</v>
      </c>
      <c r="R31">
        <f t="shared" si="3"/>
        <v>0.91549999999999998</v>
      </c>
      <c r="T31">
        <f t="shared" si="3"/>
        <v>1.1535000000000002</v>
      </c>
      <c r="V31">
        <f t="shared" si="3"/>
        <v>0.83249999999999991</v>
      </c>
      <c r="X31">
        <f t="shared" si="3"/>
        <v>0.8962</v>
      </c>
    </row>
    <row r="32" spans="1:29">
      <c r="A32" s="1"/>
      <c r="B32">
        <f t="shared" si="3"/>
        <v>0.77200000000000002</v>
      </c>
      <c r="D32">
        <f t="shared" si="3"/>
        <v>0.55100000000000005</v>
      </c>
      <c r="F32">
        <f t="shared" si="3"/>
        <v>0.94220000000000004</v>
      </c>
      <c r="H32">
        <f t="shared" si="3"/>
        <v>1.177</v>
      </c>
      <c r="J32">
        <f t="shared" si="3"/>
        <v>1.14445</v>
      </c>
      <c r="L32">
        <f t="shared" si="3"/>
        <v>1.1220000000000001</v>
      </c>
      <c r="N32">
        <f t="shared" si="3"/>
        <v>1.2355</v>
      </c>
      <c r="P32">
        <f t="shared" si="3"/>
        <v>0.88524999999999998</v>
      </c>
      <c r="R32">
        <f t="shared" si="3"/>
        <v>1.907</v>
      </c>
      <c r="T32">
        <f t="shared" si="3"/>
        <v>1.7545000000000002</v>
      </c>
      <c r="V32">
        <f t="shared" si="3"/>
        <v>1.7251000000000001</v>
      </c>
      <c r="X32">
        <f t="shared" si="3"/>
        <v>1.3164500000000001</v>
      </c>
    </row>
    <row r="33" spans="1:24">
      <c r="A33" s="1"/>
    </row>
    <row r="34" spans="1:24">
      <c r="A34" s="1"/>
    </row>
    <row r="35" spans="1:24">
      <c r="A35" s="1" t="s">
        <v>625</v>
      </c>
      <c r="B35">
        <f>B28/0.299</f>
        <v>0.25602006688963208</v>
      </c>
      <c r="D35">
        <f t="shared" ref="D35:X35" si="4">D28/0.299</f>
        <v>0.2578595317725752</v>
      </c>
      <c r="F35">
        <f t="shared" si="4"/>
        <v>6.0618729096989975E-2</v>
      </c>
      <c r="H35">
        <f t="shared" si="4"/>
        <v>3.4113712374581946E-2</v>
      </c>
      <c r="J35">
        <f t="shared" si="4"/>
        <v>9.91638795986622E-2</v>
      </c>
      <c r="L35">
        <f t="shared" si="4"/>
        <v>0.12474916387959867</v>
      </c>
      <c r="N35">
        <f t="shared" si="4"/>
        <v>0.14648829431438126</v>
      </c>
      <c r="P35">
        <f t="shared" si="4"/>
        <v>7.4749163879598651E-2</v>
      </c>
      <c r="R35">
        <f t="shared" si="4"/>
        <v>0.15919732441471574</v>
      </c>
      <c r="T35">
        <f t="shared" si="4"/>
        <v>0.19799331103678933</v>
      </c>
      <c r="V35">
        <f t="shared" si="4"/>
        <v>7.7424749163879591E-2</v>
      </c>
      <c r="X35">
        <f t="shared" si="4"/>
        <v>8.0100334448160532E-2</v>
      </c>
    </row>
    <row r="36" spans="1:24">
      <c r="A36" s="1"/>
      <c r="B36">
        <f t="shared" ref="B36:X39" si="5">B29/0.299</f>
        <v>6.240802675585283E-2</v>
      </c>
      <c r="D36">
        <f t="shared" si="5"/>
        <v>9.6655518394648823E-2</v>
      </c>
      <c r="F36">
        <f t="shared" si="5"/>
        <v>-1.3043478260869568E-2</v>
      </c>
      <c r="H36">
        <f t="shared" si="5"/>
        <v>6.1204013377926414E-2</v>
      </c>
      <c r="J36">
        <f t="shared" si="5"/>
        <v>0.10819397993311036</v>
      </c>
      <c r="L36">
        <f t="shared" si="5"/>
        <v>5.7190635451505011E-2</v>
      </c>
      <c r="N36">
        <f t="shared" si="5"/>
        <v>0.16588628762541804</v>
      </c>
      <c r="P36">
        <f t="shared" si="5"/>
        <v>8.1270903010033452E-2</v>
      </c>
      <c r="R36">
        <f t="shared" si="5"/>
        <v>3.2107023411371227E-2</v>
      </c>
      <c r="T36">
        <f t="shared" si="5"/>
        <v>6.3879598662207354E-2</v>
      </c>
      <c r="V36">
        <f t="shared" si="5"/>
        <v>0.10434782608695652</v>
      </c>
      <c r="X36">
        <f t="shared" si="5"/>
        <v>6.337792642140469E-2</v>
      </c>
    </row>
    <row r="37" spans="1:24">
      <c r="A37" s="1"/>
      <c r="B37">
        <f t="shared" si="5"/>
        <v>2.7842809364548491</v>
      </c>
      <c r="D37">
        <f t="shared" si="5"/>
        <v>2.7926421404682276</v>
      </c>
      <c r="F37">
        <f t="shared" si="5"/>
        <v>2.5484949832775921</v>
      </c>
      <c r="H37">
        <f t="shared" si="5"/>
        <v>3.0668896321070234</v>
      </c>
      <c r="J37">
        <f t="shared" si="5"/>
        <v>2.7397993311036792</v>
      </c>
      <c r="L37">
        <f t="shared" si="5"/>
        <v>1.846153846153846</v>
      </c>
      <c r="N37">
        <f t="shared" si="5"/>
        <v>2.7498327759197325</v>
      </c>
      <c r="P37">
        <f t="shared" si="5"/>
        <v>1.6789297658862876</v>
      </c>
      <c r="R37">
        <f t="shared" si="5"/>
        <v>1.8327759197324414</v>
      </c>
      <c r="T37">
        <f t="shared" si="5"/>
        <v>3.1321070234113715</v>
      </c>
      <c r="V37">
        <f t="shared" si="5"/>
        <v>2.8311036789297659</v>
      </c>
      <c r="X37">
        <f t="shared" si="5"/>
        <v>2.5045150501672242</v>
      </c>
    </row>
    <row r="38" spans="1:24">
      <c r="A38" s="1"/>
      <c r="B38">
        <f t="shared" si="5"/>
        <v>2.7508361204013374</v>
      </c>
      <c r="D38">
        <f t="shared" si="5"/>
        <v>2.5217391304347827</v>
      </c>
      <c r="F38">
        <f t="shared" si="5"/>
        <v>2.2508361204013378</v>
      </c>
      <c r="H38">
        <f t="shared" si="5"/>
        <v>2.8260869565217392</v>
      </c>
      <c r="J38">
        <f t="shared" si="5"/>
        <v>2.4785953177257527</v>
      </c>
      <c r="L38">
        <f t="shared" si="5"/>
        <v>3.1178929765886285</v>
      </c>
      <c r="N38">
        <f t="shared" si="5"/>
        <v>3.2023411371237458</v>
      </c>
      <c r="P38">
        <f t="shared" si="5"/>
        <v>2.0551839464882944</v>
      </c>
      <c r="R38">
        <f t="shared" si="5"/>
        <v>3.0618729096989967</v>
      </c>
      <c r="T38">
        <f t="shared" si="5"/>
        <v>3.8578595317725761</v>
      </c>
      <c r="V38">
        <f t="shared" si="5"/>
        <v>2.7842809364548491</v>
      </c>
      <c r="X38">
        <f t="shared" si="5"/>
        <v>2.997324414715719</v>
      </c>
    </row>
    <row r="39" spans="1:24">
      <c r="B39">
        <f t="shared" si="5"/>
        <v>2.5819397993311037</v>
      </c>
      <c r="D39">
        <f t="shared" si="5"/>
        <v>1.8428093645484953</v>
      </c>
      <c r="F39">
        <f t="shared" si="5"/>
        <v>3.1511705685618732</v>
      </c>
      <c r="H39">
        <f t="shared" si="5"/>
        <v>3.936454849498328</v>
      </c>
      <c r="J39">
        <f t="shared" si="5"/>
        <v>3.827591973244147</v>
      </c>
      <c r="L39">
        <f t="shared" si="5"/>
        <v>3.752508361204014</v>
      </c>
      <c r="N39">
        <f t="shared" si="5"/>
        <v>4.1321070234113719</v>
      </c>
      <c r="P39">
        <f t="shared" si="5"/>
        <v>2.9607023411371238</v>
      </c>
      <c r="R39">
        <f t="shared" si="5"/>
        <v>6.3779264214046822</v>
      </c>
      <c r="T39">
        <f t="shared" si="5"/>
        <v>5.8678929765886298</v>
      </c>
      <c r="V39">
        <f t="shared" si="5"/>
        <v>5.769565217391305</v>
      </c>
      <c r="X39">
        <f t="shared" si="5"/>
        <v>4.4028428093645493</v>
      </c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9"/>
  <sheetViews>
    <sheetView topLeftCell="A17" zoomScale="78" zoomScaleNormal="78" workbookViewId="0">
      <selection activeCell="E7" sqref="A1:XFD1048576"/>
    </sheetView>
  </sheetViews>
  <sheetFormatPr defaultRowHeight="15"/>
  <cols>
    <col min="1" max="1" width="28.140625" style="8" customWidth="1"/>
    <col min="2" max="2" width="15.28515625" style="8" customWidth="1"/>
    <col min="3" max="3" width="9.140625" style="8"/>
    <col min="4" max="4" width="11.42578125" style="8" customWidth="1"/>
    <col min="5" max="10" width="9.140625" style="8"/>
    <col min="11" max="11" width="12.7109375" style="8" bestFit="1" customWidth="1"/>
    <col min="12" max="16384" width="9.140625" style="8"/>
  </cols>
  <sheetData>
    <row r="1" spans="1:19">
      <c r="A1" s="21" t="s">
        <v>646</v>
      </c>
      <c r="B1" s="21" t="s">
        <v>660</v>
      </c>
    </row>
    <row r="2" spans="1:19">
      <c r="B2" s="175" t="s">
        <v>632</v>
      </c>
      <c r="C2" s="175"/>
      <c r="D2" s="175"/>
      <c r="E2" s="21"/>
      <c r="F2" s="175" t="s">
        <v>633</v>
      </c>
      <c r="G2" s="175"/>
      <c r="H2" s="175"/>
      <c r="I2" s="21"/>
      <c r="J2" s="100" t="s">
        <v>191</v>
      </c>
      <c r="K2" s="21"/>
      <c r="L2" s="21"/>
      <c r="M2" s="21"/>
      <c r="N2" s="21" t="s">
        <v>634</v>
      </c>
      <c r="O2" s="21" t="s">
        <v>635</v>
      </c>
      <c r="P2" s="21"/>
      <c r="Q2" s="21" t="s">
        <v>636</v>
      </c>
      <c r="R2" s="21"/>
      <c r="S2" s="21" t="s">
        <v>637</v>
      </c>
    </row>
    <row r="3" spans="1:19">
      <c r="A3" s="21" t="s">
        <v>541</v>
      </c>
      <c r="B3" s="21" t="s">
        <v>638</v>
      </c>
      <c r="C3" s="21" t="s">
        <v>639</v>
      </c>
      <c r="D3" s="21" t="s">
        <v>640</v>
      </c>
      <c r="E3" s="21"/>
      <c r="F3" s="21" t="s">
        <v>641</v>
      </c>
      <c r="G3" s="21" t="s">
        <v>639</v>
      </c>
      <c r="H3" s="21" t="s">
        <v>640</v>
      </c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spans="1:19">
      <c r="A4" s="21" t="s">
        <v>642</v>
      </c>
      <c r="B4" s="8">
        <v>27.053999999999998</v>
      </c>
      <c r="C4" s="8">
        <v>27.439</v>
      </c>
      <c r="D4" s="8">
        <v>27.366</v>
      </c>
      <c r="E4" s="62"/>
      <c r="F4" s="8">
        <v>16.295000000000002</v>
      </c>
      <c r="G4" s="8">
        <v>16.295000000000002</v>
      </c>
      <c r="H4" s="8">
        <v>16.423999999999999</v>
      </c>
      <c r="J4" s="8">
        <f>B4-F4</f>
        <v>10.758999999999997</v>
      </c>
      <c r="K4" s="8">
        <f>C4-G4</f>
        <v>11.143999999999998</v>
      </c>
      <c r="L4" s="8">
        <f>D4-H4</f>
        <v>10.942</v>
      </c>
      <c r="N4" s="8">
        <f>AVERAGE(L4,J4)</f>
        <v>10.850499999999998</v>
      </c>
      <c r="O4" s="8">
        <f>STDEV(J4,L4)</f>
        <v>0.1294005409571406</v>
      </c>
      <c r="Q4" s="8">
        <f>N4-N4</f>
        <v>0</v>
      </c>
      <c r="S4" s="8">
        <f>POWER(2,-Q4)</f>
        <v>1</v>
      </c>
    </row>
    <row r="5" spans="1:19">
      <c r="A5" s="21" t="s">
        <v>643</v>
      </c>
      <c r="B5" s="8">
        <v>28.395</v>
      </c>
      <c r="C5" s="8">
        <v>28.125</v>
      </c>
      <c r="D5" s="8">
        <v>28.844000000000001</v>
      </c>
      <c r="E5" s="62"/>
      <c r="F5" s="8">
        <v>16.923999999999999</v>
      </c>
      <c r="G5" s="8">
        <v>16.882000000000001</v>
      </c>
      <c r="H5" s="8">
        <v>16.283999999999999</v>
      </c>
      <c r="J5" s="8">
        <f t="shared" ref="J5:L7" si="0">B5-F5</f>
        <v>11.471</v>
      </c>
      <c r="K5" s="8">
        <f t="shared" si="0"/>
        <v>11.242999999999999</v>
      </c>
      <c r="L5" s="8">
        <f t="shared" si="0"/>
        <v>12.560000000000002</v>
      </c>
      <c r="N5" s="8">
        <f t="shared" ref="N5:N7" si="1">AVERAGE(J5:L5)</f>
        <v>11.758000000000001</v>
      </c>
      <c r="O5" s="8">
        <f t="shared" ref="O5:O7" si="2">STDEV(J5:L5)</f>
        <v>0.70384586380826486</v>
      </c>
      <c r="Q5" s="8">
        <f>N5-N4</f>
        <v>0.90750000000000242</v>
      </c>
      <c r="S5" s="8">
        <f t="shared" ref="S5:S7" si="3">POWER(2,-Q5)</f>
        <v>0.53310809720825147</v>
      </c>
    </row>
    <row r="6" spans="1:19">
      <c r="A6" s="21" t="s">
        <v>644</v>
      </c>
      <c r="B6" s="8">
        <v>26.449000000000002</v>
      </c>
      <c r="C6" s="8">
        <v>26.792000000000002</v>
      </c>
      <c r="D6" s="8">
        <v>26.343</v>
      </c>
      <c r="E6" s="62"/>
      <c r="F6" s="8">
        <v>16.321999999999999</v>
      </c>
      <c r="G6" s="8">
        <v>16.282</v>
      </c>
      <c r="H6" s="8">
        <v>16.521000000000001</v>
      </c>
      <c r="J6" s="8">
        <f t="shared" si="0"/>
        <v>10.127000000000002</v>
      </c>
      <c r="K6" s="8">
        <f t="shared" si="0"/>
        <v>10.510000000000002</v>
      </c>
      <c r="L6" s="8">
        <f t="shared" si="0"/>
        <v>9.8219999999999992</v>
      </c>
      <c r="N6" s="8">
        <f t="shared" si="1"/>
        <v>10.153</v>
      </c>
      <c r="O6" s="8">
        <f t="shared" si="2"/>
        <v>0.34473613097556333</v>
      </c>
      <c r="Q6" s="8">
        <f>N6-N4</f>
        <v>-0.69749999999999801</v>
      </c>
      <c r="S6" s="8">
        <f t="shared" si="3"/>
        <v>1.6216921780689868</v>
      </c>
    </row>
    <row r="7" spans="1:19">
      <c r="A7" s="21" t="s">
        <v>645</v>
      </c>
      <c r="B7" s="8">
        <v>24.193999999999999</v>
      </c>
      <c r="C7" s="8">
        <v>24.134</v>
      </c>
      <c r="D7" s="8">
        <v>24.292999999999999</v>
      </c>
      <c r="E7" s="62"/>
      <c r="F7" s="8">
        <v>17.934999999999999</v>
      </c>
      <c r="G7" s="8">
        <v>17.381</v>
      </c>
      <c r="H7" s="8">
        <v>17.234999999999999</v>
      </c>
      <c r="J7" s="8">
        <f t="shared" si="0"/>
        <v>6.2590000000000003</v>
      </c>
      <c r="K7" s="8">
        <f t="shared" si="0"/>
        <v>6.7530000000000001</v>
      </c>
      <c r="L7" s="8">
        <f t="shared" si="0"/>
        <v>7.0579999999999998</v>
      </c>
      <c r="N7" s="8">
        <f t="shared" si="1"/>
        <v>6.69</v>
      </c>
      <c r="O7" s="8">
        <f t="shared" si="2"/>
        <v>0.40320838284936461</v>
      </c>
      <c r="Q7" s="8">
        <f>N7-N4</f>
        <v>-4.1604999999999981</v>
      </c>
      <c r="S7" s="8">
        <f t="shared" si="3"/>
        <v>17.882790838324524</v>
      </c>
    </row>
    <row r="8" spans="1:19">
      <c r="A8" s="21"/>
    </row>
    <row r="9" spans="1:19">
      <c r="A9" s="21" t="s">
        <v>542</v>
      </c>
    </row>
    <row r="10" spans="1:19">
      <c r="A10" s="70" t="s">
        <v>642</v>
      </c>
      <c r="B10" s="8">
        <v>28.484999999999999</v>
      </c>
      <c r="C10" s="8">
        <v>28.117999999999999</v>
      </c>
      <c r="D10" s="8">
        <v>28.783000000000001</v>
      </c>
      <c r="E10" s="62"/>
      <c r="F10" s="8">
        <v>17.413</v>
      </c>
      <c r="G10" s="8">
        <v>17.556000000000001</v>
      </c>
      <c r="H10" s="8">
        <v>17.283999999999999</v>
      </c>
      <c r="I10" s="62"/>
      <c r="J10" s="62">
        <f>B10-F10</f>
        <v>11.071999999999999</v>
      </c>
      <c r="K10" s="62">
        <f>C10-G10</f>
        <v>10.561999999999998</v>
      </c>
      <c r="L10" s="62">
        <f>D10-H10</f>
        <v>11.499000000000002</v>
      </c>
      <c r="M10" s="62"/>
      <c r="N10" s="62">
        <f>AVERAGE(L10,J10)</f>
        <v>11.285500000000001</v>
      </c>
      <c r="O10" s="8">
        <f>STDEV(J10,L10)</f>
        <v>0.30193459556665803</v>
      </c>
      <c r="Q10" s="8">
        <f>N10-N10</f>
        <v>0</v>
      </c>
      <c r="S10" s="8">
        <f>POWER(2,-Q10)</f>
        <v>1</v>
      </c>
    </row>
    <row r="11" spans="1:19">
      <c r="A11" s="70" t="s">
        <v>643</v>
      </c>
      <c r="B11" s="8">
        <v>25.693000000000001</v>
      </c>
      <c r="C11" s="8">
        <v>25.119</v>
      </c>
      <c r="D11" s="8">
        <v>25.693999999999999</v>
      </c>
      <c r="E11" s="62"/>
      <c r="F11" s="8">
        <v>17.835000000000001</v>
      </c>
      <c r="G11" s="8">
        <v>17.611999999999998</v>
      </c>
      <c r="H11" s="8">
        <v>17.143000000000001</v>
      </c>
      <c r="I11" s="62"/>
      <c r="J11" s="62">
        <f t="shared" ref="J11:L13" si="4">B11-F11</f>
        <v>7.8580000000000005</v>
      </c>
      <c r="K11" s="62">
        <f t="shared" si="4"/>
        <v>7.5070000000000014</v>
      </c>
      <c r="L11" s="62">
        <f t="shared" si="4"/>
        <v>8.5509999999999984</v>
      </c>
      <c r="M11" s="62"/>
      <c r="N11" s="62">
        <f t="shared" ref="N11:N13" si="5">AVERAGE(J11:L11)</f>
        <v>7.9720000000000004</v>
      </c>
      <c r="O11" s="8">
        <f t="shared" ref="O11:O13" si="6">STDEV(J11:L11)</f>
        <v>0.53125417645416995</v>
      </c>
      <c r="Q11" s="8">
        <f>N11-N10</f>
        <v>-3.3135000000000003</v>
      </c>
      <c r="S11" s="8">
        <f t="shared" ref="S11:S13" si="7">POWER(2,-Q11)</f>
        <v>9.9417512056854722</v>
      </c>
    </row>
    <row r="12" spans="1:19">
      <c r="A12" s="70" t="s">
        <v>644</v>
      </c>
      <c r="B12" s="8">
        <v>26.495999999999999</v>
      </c>
      <c r="C12" s="8">
        <v>26.559000000000001</v>
      </c>
      <c r="D12" s="8">
        <v>26.533999999999999</v>
      </c>
      <c r="E12" s="62"/>
      <c r="F12" s="8">
        <v>16.283000000000001</v>
      </c>
      <c r="G12" s="8">
        <v>16.183</v>
      </c>
      <c r="H12" s="8">
        <v>16.225000000000001</v>
      </c>
      <c r="I12" s="62"/>
      <c r="J12" s="62">
        <f t="shared" si="4"/>
        <v>10.212999999999997</v>
      </c>
      <c r="K12" s="62">
        <f t="shared" si="4"/>
        <v>10.376000000000001</v>
      </c>
      <c r="L12" s="62">
        <f t="shared" si="4"/>
        <v>10.308999999999997</v>
      </c>
      <c r="M12" s="62"/>
      <c r="N12" s="62">
        <f t="shared" si="5"/>
        <v>10.299333333333331</v>
      </c>
      <c r="O12" s="8">
        <f t="shared" si="6"/>
        <v>8.1928830904228256E-2</v>
      </c>
      <c r="Q12" s="8">
        <f>N12-N10</f>
        <v>-0.9861666666666693</v>
      </c>
      <c r="S12" s="8">
        <f t="shared" si="7"/>
        <v>1.9809145748734183</v>
      </c>
    </row>
    <row r="13" spans="1:19">
      <c r="A13" s="70" t="s">
        <v>645</v>
      </c>
      <c r="B13" s="8">
        <v>24.338999999999999</v>
      </c>
      <c r="C13" s="8">
        <v>24.693000000000001</v>
      </c>
      <c r="D13" s="8">
        <v>24.390999999999998</v>
      </c>
      <c r="E13" s="62"/>
      <c r="F13" s="8">
        <v>17.835000000000001</v>
      </c>
      <c r="G13" s="8">
        <v>17.617999999999999</v>
      </c>
      <c r="H13" s="8">
        <v>17.353999999999999</v>
      </c>
      <c r="I13" s="62"/>
      <c r="J13" s="62">
        <f t="shared" si="4"/>
        <v>6.5039999999999978</v>
      </c>
      <c r="K13" s="62">
        <f t="shared" si="4"/>
        <v>7.0750000000000028</v>
      </c>
      <c r="L13" s="62">
        <f t="shared" si="4"/>
        <v>7.036999999999999</v>
      </c>
      <c r="M13" s="62"/>
      <c r="N13" s="62">
        <f t="shared" si="5"/>
        <v>6.8719999999999999</v>
      </c>
      <c r="O13" s="8">
        <f t="shared" si="6"/>
        <v>0.31926321429190874</v>
      </c>
      <c r="Q13" s="8">
        <f>N13-N10</f>
        <v>-4.4135000000000009</v>
      </c>
      <c r="S13" s="8">
        <f t="shared" si="7"/>
        <v>21.310610226783773</v>
      </c>
    </row>
    <row r="14" spans="1:19">
      <c r="A14" s="70"/>
      <c r="E14" s="62"/>
      <c r="I14" s="62"/>
      <c r="J14" s="62"/>
      <c r="K14" s="62"/>
      <c r="L14" s="62"/>
      <c r="M14" s="62"/>
      <c r="N14" s="62"/>
    </row>
    <row r="15" spans="1:19">
      <c r="A15" s="70" t="s">
        <v>543</v>
      </c>
      <c r="B15" s="62"/>
      <c r="C15" s="62"/>
      <c r="D15" s="62"/>
      <c r="E15" s="62"/>
      <c r="F15" s="62"/>
      <c r="G15" s="63"/>
      <c r="H15" s="62"/>
      <c r="I15" s="62"/>
      <c r="J15" s="62"/>
      <c r="K15" s="62"/>
      <c r="L15" s="62"/>
      <c r="M15" s="62"/>
      <c r="N15" s="62"/>
    </row>
    <row r="16" spans="1:19">
      <c r="A16" s="70" t="s">
        <v>642</v>
      </c>
      <c r="B16" s="8">
        <v>27.305</v>
      </c>
      <c r="C16" s="8">
        <v>27.192</v>
      </c>
      <c r="D16" s="8">
        <v>27.445</v>
      </c>
      <c r="E16" s="62"/>
      <c r="F16" s="8">
        <v>18.385000000000002</v>
      </c>
      <c r="G16" s="8">
        <v>18.128</v>
      </c>
      <c r="H16" s="8">
        <v>18.622</v>
      </c>
      <c r="I16" s="62"/>
      <c r="J16" s="62">
        <f>B16-F16</f>
        <v>8.9199999999999982</v>
      </c>
      <c r="K16" s="62">
        <f>C16-G16</f>
        <v>9.0640000000000001</v>
      </c>
      <c r="L16" s="62">
        <f>D16-H16</f>
        <v>8.8230000000000004</v>
      </c>
      <c r="M16" s="62"/>
      <c r="N16" s="62">
        <f>AVERAGE(L16,J16)</f>
        <v>8.8714999999999993</v>
      </c>
      <c r="O16" s="8">
        <f>STDEV(J16,L16)</f>
        <v>6.8589357775093521E-2</v>
      </c>
      <c r="Q16" s="8">
        <f>N16-N16</f>
        <v>0</v>
      </c>
      <c r="S16" s="8">
        <f>POWER(2,-Q16)</f>
        <v>1</v>
      </c>
    </row>
    <row r="17" spans="1:19">
      <c r="A17" s="70" t="s">
        <v>643</v>
      </c>
      <c r="B17" s="8">
        <v>26.129000000000001</v>
      </c>
      <c r="C17" s="8">
        <v>26.449000000000002</v>
      </c>
      <c r="D17" s="8">
        <v>26.103999999999999</v>
      </c>
      <c r="E17" s="62"/>
      <c r="F17" s="8">
        <v>17.535</v>
      </c>
      <c r="G17" s="8">
        <v>17.628</v>
      </c>
      <c r="H17" s="8">
        <v>17.922999999999998</v>
      </c>
      <c r="I17" s="62"/>
      <c r="J17" s="62">
        <f t="shared" ref="J17:L19" si="8">B17-F17</f>
        <v>8.5940000000000012</v>
      </c>
      <c r="K17" s="62">
        <f t="shared" si="8"/>
        <v>8.8210000000000015</v>
      </c>
      <c r="L17" s="62">
        <f t="shared" si="8"/>
        <v>8.1810000000000009</v>
      </c>
      <c r="M17" s="62"/>
      <c r="N17" s="62">
        <f t="shared" ref="N17:N19" si="9">AVERAGE(J17:L17)</f>
        <v>8.5320000000000018</v>
      </c>
      <c r="O17" s="8">
        <f t="shared" ref="O17:O19" si="10">STDEV(J17:L17)</f>
        <v>0.32447341955852127</v>
      </c>
      <c r="Q17" s="8">
        <f>N17-N16</f>
        <v>-0.33949999999999747</v>
      </c>
      <c r="S17" s="8">
        <f t="shared" ref="S17:S19" si="11">POWER(2,-Q17)</f>
        <v>1.2653179921713751</v>
      </c>
    </row>
    <row r="18" spans="1:19">
      <c r="A18" s="70" t="s">
        <v>644</v>
      </c>
      <c r="B18" s="8">
        <v>25.619</v>
      </c>
      <c r="C18" s="8">
        <v>25.395</v>
      </c>
      <c r="D18" s="8">
        <v>25.83</v>
      </c>
      <c r="E18" s="62"/>
      <c r="F18" s="8">
        <v>16.853999999999999</v>
      </c>
      <c r="G18" s="8">
        <v>16.324999999999999</v>
      </c>
      <c r="H18" s="8">
        <v>16.347999999999999</v>
      </c>
      <c r="I18" s="62"/>
      <c r="J18" s="62">
        <f t="shared" si="8"/>
        <v>8.7650000000000006</v>
      </c>
      <c r="K18" s="62">
        <f t="shared" si="8"/>
        <v>9.07</v>
      </c>
      <c r="L18" s="62">
        <f t="shared" si="8"/>
        <v>9.4819999999999993</v>
      </c>
      <c r="M18" s="62"/>
      <c r="N18" s="62">
        <f t="shared" si="9"/>
        <v>9.1056666666666661</v>
      </c>
      <c r="O18" s="8">
        <f t="shared" si="10"/>
        <v>0.35982819974723057</v>
      </c>
      <c r="Q18" s="8">
        <f>N18-N16</f>
        <v>0.23416666666666686</v>
      </c>
      <c r="S18" s="8">
        <f t="shared" si="11"/>
        <v>0.85017593821502946</v>
      </c>
    </row>
    <row r="19" spans="1:19">
      <c r="A19" s="70" t="s">
        <v>645</v>
      </c>
      <c r="B19" s="8">
        <v>24.193999999999999</v>
      </c>
      <c r="C19" s="8">
        <v>24.446000000000002</v>
      </c>
      <c r="D19" s="8">
        <v>24.690999999999999</v>
      </c>
      <c r="E19" s="62"/>
      <c r="F19" s="8">
        <v>18.236000000000001</v>
      </c>
      <c r="G19" s="8">
        <v>18.251000000000001</v>
      </c>
      <c r="H19" s="8">
        <v>18.628</v>
      </c>
      <c r="I19" s="62"/>
      <c r="J19" s="62">
        <f t="shared" si="8"/>
        <v>5.9579999999999984</v>
      </c>
      <c r="K19" s="62">
        <f t="shared" si="8"/>
        <v>6.1950000000000003</v>
      </c>
      <c r="L19" s="62">
        <f t="shared" si="8"/>
        <v>6.0629999999999988</v>
      </c>
      <c r="M19" s="62"/>
      <c r="N19" s="62">
        <f t="shared" si="9"/>
        <v>6.0719999999999992</v>
      </c>
      <c r="O19" s="8">
        <f t="shared" si="10"/>
        <v>0.11875605247733788</v>
      </c>
      <c r="Q19" s="8">
        <f>N19-N16</f>
        <v>-2.7995000000000001</v>
      </c>
      <c r="S19" s="8">
        <f t="shared" si="11"/>
        <v>6.9619912459053861</v>
      </c>
    </row>
    <row r="20" spans="1:19">
      <c r="A20" s="70"/>
      <c r="E20" s="62"/>
      <c r="I20" s="62"/>
      <c r="J20" s="62"/>
      <c r="K20" s="62"/>
      <c r="L20" s="62"/>
      <c r="M20" s="62"/>
      <c r="N20" s="62"/>
    </row>
    <row r="21" spans="1:19">
      <c r="A21" s="70" t="s">
        <v>544</v>
      </c>
      <c r="B21" s="62"/>
      <c r="C21" s="62"/>
      <c r="D21" s="62"/>
      <c r="E21" s="62"/>
      <c r="F21" s="63"/>
      <c r="G21" s="63"/>
      <c r="H21" s="62"/>
      <c r="I21" s="62"/>
      <c r="J21" s="62"/>
      <c r="K21" s="62"/>
      <c r="L21" s="62"/>
      <c r="M21" s="62"/>
      <c r="N21" s="62"/>
    </row>
    <row r="22" spans="1:19">
      <c r="A22" s="70" t="s">
        <v>642</v>
      </c>
      <c r="B22" s="8">
        <v>26.305</v>
      </c>
      <c r="C22" s="8">
        <v>26.204000000000001</v>
      </c>
      <c r="D22" s="8">
        <v>26.44</v>
      </c>
      <c r="E22" s="62"/>
      <c r="F22" s="8">
        <v>16.527999999999999</v>
      </c>
      <c r="G22" s="8">
        <v>16.448</v>
      </c>
      <c r="H22" s="8">
        <v>16.728000000000002</v>
      </c>
      <c r="I22" s="62"/>
      <c r="J22" s="62">
        <f>B22-F22</f>
        <v>9.777000000000001</v>
      </c>
      <c r="K22" s="62">
        <f>C22-G22</f>
        <v>9.7560000000000002</v>
      </c>
      <c r="L22" s="62">
        <f>D22-H22</f>
        <v>9.7119999999999997</v>
      </c>
      <c r="M22" s="62"/>
      <c r="N22" s="62">
        <f>AVERAGE(L22,J22)</f>
        <v>9.7445000000000004</v>
      </c>
      <c r="O22" s="8">
        <f>STDEV(J22,L22)</f>
        <v>4.5961940777126495E-2</v>
      </c>
      <c r="Q22" s="8">
        <f>N22-N22</f>
        <v>0</v>
      </c>
      <c r="S22" s="8">
        <f>POWER(2,-Q22)</f>
        <v>1</v>
      </c>
    </row>
    <row r="23" spans="1:19">
      <c r="A23" s="70" t="s">
        <v>643</v>
      </c>
      <c r="B23" s="8">
        <v>26.503</v>
      </c>
      <c r="C23" s="8">
        <v>26.33</v>
      </c>
      <c r="D23" s="8">
        <v>26.506</v>
      </c>
      <c r="E23" s="62"/>
      <c r="F23" s="8">
        <v>19.835000000000001</v>
      </c>
      <c r="G23" s="8">
        <v>19.623999999999999</v>
      </c>
      <c r="H23" s="8">
        <v>19.283000000000001</v>
      </c>
      <c r="I23" s="62"/>
      <c r="J23" s="62">
        <f t="shared" ref="J23:L25" si="12">B23-F23</f>
        <v>6.6679999999999993</v>
      </c>
      <c r="K23" s="62">
        <f t="shared" si="12"/>
        <v>6.7059999999999995</v>
      </c>
      <c r="L23" s="62">
        <f t="shared" si="12"/>
        <v>7.222999999999999</v>
      </c>
      <c r="M23" s="62"/>
      <c r="N23" s="62">
        <f t="shared" ref="N23:N25" si="13">AVERAGE(J23:L23)</f>
        <v>6.8656666666666659</v>
      </c>
      <c r="O23" s="8">
        <f t="shared" ref="O23:O25" si="14">STDEV(J23:L23)</f>
        <v>0.31004247020905568</v>
      </c>
      <c r="Q23" s="8">
        <f>N23-N22</f>
        <v>-2.8788333333333345</v>
      </c>
      <c r="S23" s="8">
        <f t="shared" ref="S23:S25" si="15">POWER(2,-Q23)</f>
        <v>7.3555505736045017</v>
      </c>
    </row>
    <row r="24" spans="1:19">
      <c r="A24" s="70" t="s">
        <v>644</v>
      </c>
      <c r="B24" s="8">
        <v>26.303999999999998</v>
      </c>
      <c r="C24" s="8">
        <v>26.102</v>
      </c>
      <c r="D24" s="8">
        <v>26.994</v>
      </c>
      <c r="E24" s="62"/>
      <c r="F24" s="8">
        <v>18.236999999999998</v>
      </c>
      <c r="G24" s="8">
        <v>18.721</v>
      </c>
      <c r="H24" s="8">
        <v>18.626999999999999</v>
      </c>
      <c r="I24" s="62"/>
      <c r="J24" s="62">
        <f t="shared" si="12"/>
        <v>8.0670000000000002</v>
      </c>
      <c r="K24" s="62">
        <f t="shared" si="12"/>
        <v>7.3810000000000002</v>
      </c>
      <c r="L24" s="62">
        <f t="shared" si="12"/>
        <v>8.3670000000000009</v>
      </c>
      <c r="M24" s="62"/>
      <c r="N24" s="62">
        <f t="shared" si="13"/>
        <v>7.9383333333333335</v>
      </c>
      <c r="O24" s="8">
        <f t="shared" si="14"/>
        <v>0.50543578556858593</v>
      </c>
      <c r="Q24" s="8">
        <f>N24-N22</f>
        <v>-1.8061666666666669</v>
      </c>
      <c r="S24" s="8">
        <f t="shared" si="15"/>
        <v>3.497118461273184</v>
      </c>
    </row>
    <row r="25" spans="1:19">
      <c r="A25" s="70" t="s">
        <v>645</v>
      </c>
      <c r="B25" s="8">
        <v>24.105</v>
      </c>
      <c r="C25" s="8">
        <v>24.550999999999998</v>
      </c>
      <c r="D25" s="8">
        <v>24.068999999999999</v>
      </c>
      <c r="E25" s="62"/>
      <c r="F25" s="8">
        <v>18.210999999999999</v>
      </c>
      <c r="G25" s="8">
        <v>18.263999999999999</v>
      </c>
      <c r="H25" s="8">
        <v>18.623999999999999</v>
      </c>
      <c r="I25" s="62"/>
      <c r="J25" s="62">
        <f t="shared" si="12"/>
        <v>5.8940000000000019</v>
      </c>
      <c r="K25" s="62">
        <f t="shared" si="12"/>
        <v>6.286999999999999</v>
      </c>
      <c r="L25" s="62">
        <f t="shared" si="12"/>
        <v>5.4450000000000003</v>
      </c>
      <c r="M25" s="62"/>
      <c r="N25" s="62">
        <f t="shared" si="13"/>
        <v>5.8753333333333337</v>
      </c>
      <c r="O25" s="8">
        <f t="shared" si="14"/>
        <v>0.42131025780691939</v>
      </c>
      <c r="Q25" s="8">
        <f>N25-N22</f>
        <v>-3.8691666666666666</v>
      </c>
      <c r="S25" s="8">
        <f t="shared" si="15"/>
        <v>14.6128600464748</v>
      </c>
    </row>
    <row r="26" spans="1:19">
      <c r="A26" s="70"/>
      <c r="E26" s="62"/>
      <c r="I26" s="62"/>
      <c r="J26" s="62"/>
      <c r="K26" s="62"/>
      <c r="L26" s="62"/>
      <c r="M26" s="62"/>
      <c r="N26" s="62"/>
    </row>
    <row r="27" spans="1:19">
      <c r="A27" s="70" t="s">
        <v>545</v>
      </c>
      <c r="B27" s="62"/>
      <c r="C27" s="62"/>
      <c r="D27" s="62"/>
      <c r="E27" s="62"/>
      <c r="F27" s="63"/>
      <c r="G27" s="63"/>
      <c r="H27" s="62"/>
      <c r="I27" s="62"/>
      <c r="J27" s="62"/>
      <c r="K27" s="62"/>
      <c r="L27" s="62"/>
      <c r="M27" s="62"/>
      <c r="N27" s="62"/>
    </row>
    <row r="28" spans="1:19">
      <c r="A28" s="70" t="s">
        <v>642</v>
      </c>
      <c r="B28" s="8">
        <v>26.305</v>
      </c>
      <c r="C28" s="8">
        <v>26.332999999999998</v>
      </c>
      <c r="D28" s="8">
        <v>26.103999999999999</v>
      </c>
      <c r="E28" s="62"/>
      <c r="F28" s="8">
        <v>17.629000000000001</v>
      </c>
      <c r="G28" s="8">
        <v>17.263000000000002</v>
      </c>
      <c r="H28" s="8">
        <v>17.195</v>
      </c>
      <c r="I28" s="62"/>
      <c r="J28" s="62">
        <f>B28-F28</f>
        <v>8.6759999999999984</v>
      </c>
      <c r="K28" s="62">
        <f>C28-G28</f>
        <v>9.0699999999999967</v>
      </c>
      <c r="L28" s="62">
        <f>D28-H28</f>
        <v>8.9089999999999989</v>
      </c>
      <c r="M28" s="62"/>
      <c r="N28" s="62">
        <f>AVERAGE(L28,J28)</f>
        <v>8.7924999999999986</v>
      </c>
      <c r="O28" s="8">
        <f>STDEV(J28,L28)</f>
        <v>0.16475588001646596</v>
      </c>
      <c r="Q28" s="8">
        <f>N28-N28</f>
        <v>0</v>
      </c>
      <c r="S28" s="8">
        <f>POWER(2,-Q28)</f>
        <v>1</v>
      </c>
    </row>
    <row r="29" spans="1:19">
      <c r="A29" s="70" t="s">
        <v>643</v>
      </c>
      <c r="B29" s="8">
        <v>26.045000000000002</v>
      </c>
      <c r="C29" s="8">
        <v>26.783000000000001</v>
      </c>
      <c r="D29" s="8">
        <v>26.023</v>
      </c>
      <c r="E29" s="62"/>
      <c r="F29" s="8">
        <v>17.628</v>
      </c>
      <c r="G29" s="8">
        <v>17.922000000000001</v>
      </c>
      <c r="H29" s="8">
        <v>17.623000000000001</v>
      </c>
      <c r="I29" s="62"/>
      <c r="J29" s="62">
        <f t="shared" ref="J29:L31" si="16">B29-F29</f>
        <v>8.4170000000000016</v>
      </c>
      <c r="K29" s="62">
        <f t="shared" si="16"/>
        <v>8.8610000000000007</v>
      </c>
      <c r="L29" s="62">
        <f t="shared" si="16"/>
        <v>8.3999999999999986</v>
      </c>
      <c r="M29" s="62"/>
      <c r="N29" s="62">
        <f t="shared" ref="N29:N31" si="17">AVERAGE(J29:L29)</f>
        <v>8.559333333333333</v>
      </c>
      <c r="O29" s="8">
        <f t="shared" ref="O29:O31" si="18">STDEV(J29:L29)</f>
        <v>0.26138923721785778</v>
      </c>
      <c r="Q29" s="8">
        <f>N29-N28</f>
        <v>-0.23316666666666563</v>
      </c>
      <c r="S29" s="8">
        <f t="shared" ref="S29:S31" si="19">POWER(2,-Q29)</f>
        <v>1.1754121095082126</v>
      </c>
    </row>
    <row r="30" spans="1:19">
      <c r="A30" s="70" t="s">
        <v>644</v>
      </c>
      <c r="B30" s="8">
        <v>25.663</v>
      </c>
      <c r="C30" s="8">
        <v>25.103999999999999</v>
      </c>
      <c r="D30" s="8">
        <v>25.611000000000001</v>
      </c>
      <c r="E30" s="62"/>
      <c r="F30" s="8">
        <v>18.428000000000001</v>
      </c>
      <c r="G30" s="8">
        <v>18.710999999999999</v>
      </c>
      <c r="H30" s="8">
        <v>18.358000000000001</v>
      </c>
      <c r="I30" s="62"/>
      <c r="J30" s="62">
        <f t="shared" si="16"/>
        <v>7.2349999999999994</v>
      </c>
      <c r="K30" s="62">
        <f t="shared" si="16"/>
        <v>6.3930000000000007</v>
      </c>
      <c r="L30" s="62">
        <f t="shared" si="16"/>
        <v>7.2530000000000001</v>
      </c>
      <c r="M30" s="62"/>
      <c r="N30" s="62">
        <f t="shared" si="17"/>
        <v>6.9603333333333337</v>
      </c>
      <c r="O30" s="8">
        <f t="shared" si="18"/>
        <v>0.49140750231689873</v>
      </c>
      <c r="Q30" s="8">
        <f>N30-N28</f>
        <v>-1.8321666666666649</v>
      </c>
      <c r="S30" s="8">
        <f t="shared" si="19"/>
        <v>3.5607142590919758</v>
      </c>
    </row>
    <row r="31" spans="1:19">
      <c r="A31" s="70" t="s">
        <v>645</v>
      </c>
      <c r="B31" s="8">
        <v>24.693000000000001</v>
      </c>
      <c r="C31" s="8">
        <v>24.611999999999998</v>
      </c>
      <c r="D31" s="8">
        <v>24.513000000000002</v>
      </c>
      <c r="E31" s="62"/>
      <c r="F31" s="8">
        <v>18.734000000000002</v>
      </c>
      <c r="G31" s="8">
        <v>18.143999999999998</v>
      </c>
      <c r="H31" s="8">
        <v>18.853000000000002</v>
      </c>
      <c r="I31" s="62"/>
      <c r="J31" s="62">
        <f t="shared" si="16"/>
        <v>5.9589999999999996</v>
      </c>
      <c r="K31" s="62">
        <f t="shared" si="16"/>
        <v>6.468</v>
      </c>
      <c r="L31" s="62">
        <f t="shared" si="16"/>
        <v>5.66</v>
      </c>
      <c r="M31" s="62"/>
      <c r="N31" s="62">
        <f t="shared" si="17"/>
        <v>6.0289999999999999</v>
      </c>
      <c r="O31" s="8">
        <f t="shared" si="18"/>
        <v>0.40852294917176923</v>
      </c>
      <c r="Q31" s="8">
        <f>N31-N28</f>
        <v>-2.7634999999999987</v>
      </c>
      <c r="S31" s="8">
        <f t="shared" si="19"/>
        <v>6.790416184801443</v>
      </c>
    </row>
    <row r="32" spans="1:19">
      <c r="D32" s="64"/>
      <c r="G32" s="64"/>
    </row>
    <row r="33" spans="4:7">
      <c r="D33" s="64"/>
      <c r="G33" s="64"/>
    </row>
    <row r="34" spans="4:7">
      <c r="D34" s="64"/>
      <c r="G34" s="64"/>
    </row>
    <row r="35" spans="4:7">
      <c r="D35" s="64"/>
      <c r="F35" s="64"/>
      <c r="G35" s="64"/>
    </row>
    <row r="36" spans="4:7">
      <c r="D36" s="64"/>
      <c r="F36" s="64"/>
      <c r="G36" s="64"/>
    </row>
    <row r="37" spans="4:7">
      <c r="D37" s="64"/>
      <c r="F37" s="64"/>
      <c r="G37" s="64"/>
    </row>
    <row r="38" spans="4:7">
      <c r="D38" s="64"/>
      <c r="F38" s="64"/>
    </row>
    <row r="39" spans="4:7">
      <c r="D39" s="64"/>
      <c r="F39" s="64"/>
    </row>
    <row r="40" spans="4:7">
      <c r="D40" s="64"/>
      <c r="F40" s="64"/>
    </row>
    <row r="41" spans="4:7">
      <c r="D41" s="64"/>
      <c r="F41" s="64"/>
    </row>
    <row r="42" spans="4:7">
      <c r="F42" s="64"/>
    </row>
    <row r="43" spans="4:7">
      <c r="F43" s="64"/>
    </row>
    <row r="44" spans="4:7">
      <c r="F44" s="64"/>
    </row>
    <row r="45" spans="4:7">
      <c r="F45" s="64"/>
    </row>
    <row r="46" spans="4:7">
      <c r="F46" s="64"/>
    </row>
    <row r="47" spans="4:7">
      <c r="F47" s="64"/>
    </row>
    <row r="48" spans="4:7">
      <c r="F48" s="64"/>
    </row>
    <row r="49" spans="6:6">
      <c r="F49" s="64"/>
    </row>
  </sheetData>
  <mergeCells count="2">
    <mergeCell ref="B2:D2"/>
    <mergeCell ref="F2:H2"/>
  </mergeCell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9"/>
  <sheetViews>
    <sheetView workbookViewId="0">
      <selection activeCell="A6" sqref="A6"/>
    </sheetView>
  </sheetViews>
  <sheetFormatPr defaultRowHeight="15"/>
  <cols>
    <col min="1" max="1" width="28.140625" style="8" customWidth="1"/>
    <col min="2" max="2" width="12.5703125" style="8" customWidth="1"/>
    <col min="3" max="3" width="9.140625" style="8"/>
    <col min="4" max="4" width="11.42578125" style="8" customWidth="1"/>
    <col min="5" max="10" width="9.140625" style="8"/>
    <col min="11" max="11" width="12.7109375" style="8" bestFit="1" customWidth="1"/>
    <col min="12" max="16384" width="9.140625" style="8"/>
  </cols>
  <sheetData>
    <row r="1" spans="1:19">
      <c r="A1" s="21" t="s">
        <v>651</v>
      </c>
      <c r="B1" s="21" t="s">
        <v>652</v>
      </c>
    </row>
    <row r="2" spans="1:19">
      <c r="B2" s="175" t="s">
        <v>632</v>
      </c>
      <c r="C2" s="175"/>
      <c r="D2" s="175"/>
      <c r="E2" s="21"/>
      <c r="F2" s="175" t="s">
        <v>633</v>
      </c>
      <c r="G2" s="175"/>
      <c r="H2" s="175"/>
      <c r="I2" s="21"/>
      <c r="J2" s="100" t="s">
        <v>191</v>
      </c>
      <c r="K2" s="21"/>
      <c r="L2" s="21"/>
      <c r="M2" s="21"/>
      <c r="N2" s="21" t="s">
        <v>634</v>
      </c>
      <c r="O2" s="21" t="s">
        <v>635</v>
      </c>
      <c r="P2" s="21"/>
      <c r="Q2" s="21" t="s">
        <v>636</v>
      </c>
      <c r="R2" s="21"/>
      <c r="S2" s="21" t="s">
        <v>637</v>
      </c>
    </row>
    <row r="3" spans="1:19">
      <c r="A3" s="21" t="s">
        <v>541</v>
      </c>
      <c r="B3" s="21" t="s">
        <v>638</v>
      </c>
      <c r="C3" s="21" t="s">
        <v>639</v>
      </c>
      <c r="D3" s="21" t="s">
        <v>640</v>
      </c>
      <c r="E3" s="21"/>
      <c r="F3" s="21" t="s">
        <v>641</v>
      </c>
      <c r="G3" s="21" t="s">
        <v>639</v>
      </c>
      <c r="H3" s="21" t="s">
        <v>640</v>
      </c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spans="1:19">
      <c r="A4" s="21" t="s">
        <v>642</v>
      </c>
      <c r="B4" s="8">
        <v>24.123999999999999</v>
      </c>
      <c r="C4" s="8">
        <v>24.544</v>
      </c>
      <c r="D4" s="8">
        <v>24.791</v>
      </c>
      <c r="E4" s="62"/>
      <c r="F4" s="8">
        <v>16.295000000000002</v>
      </c>
      <c r="G4" s="8">
        <v>16.295000000000002</v>
      </c>
      <c r="H4" s="8">
        <v>16.423999999999999</v>
      </c>
      <c r="J4" s="8">
        <f>B4-F4</f>
        <v>7.8289999999999971</v>
      </c>
      <c r="K4" s="8">
        <f>C4-G4</f>
        <v>8.2489999999999988</v>
      </c>
      <c r="L4" s="8">
        <f>D4-H4</f>
        <v>8.3670000000000009</v>
      </c>
      <c r="N4" s="8">
        <f>AVERAGE(L4,J4)</f>
        <v>8.097999999999999</v>
      </c>
      <c r="O4" s="8">
        <f>STDEV(J4,L4)</f>
        <v>0.38042344827836527</v>
      </c>
      <c r="Q4" s="8">
        <f>N4-N4</f>
        <v>0</v>
      </c>
      <c r="S4" s="8">
        <f>POWER(2,-Q4)</f>
        <v>1</v>
      </c>
    </row>
    <row r="5" spans="1:19">
      <c r="A5" s="21" t="s">
        <v>643</v>
      </c>
      <c r="B5" s="8">
        <v>24.305</v>
      </c>
      <c r="C5" s="8">
        <v>24.690999999999999</v>
      </c>
      <c r="D5" s="8">
        <v>24.11</v>
      </c>
      <c r="E5" s="62"/>
      <c r="F5" s="8">
        <v>16.923999999999999</v>
      </c>
      <c r="G5" s="8">
        <v>16.882000000000001</v>
      </c>
      <c r="H5" s="8">
        <v>16.283999999999999</v>
      </c>
      <c r="J5" s="8">
        <f t="shared" ref="J5:L7" si="0">B5-F5</f>
        <v>7.3810000000000002</v>
      </c>
      <c r="K5" s="8">
        <f t="shared" si="0"/>
        <v>7.8089999999999975</v>
      </c>
      <c r="L5" s="8">
        <f t="shared" si="0"/>
        <v>7.8260000000000005</v>
      </c>
      <c r="N5" s="8">
        <f t="shared" ref="N5:N7" si="1">AVERAGE(J5:L5)</f>
        <v>7.6719999999999997</v>
      </c>
      <c r="O5" s="8">
        <f t="shared" ref="O5:O7" si="2">STDEV(J5:L5)</f>
        <v>0.25215669731339613</v>
      </c>
      <c r="Q5" s="8">
        <f>N5-N4</f>
        <v>-0.42599999999999927</v>
      </c>
      <c r="S5" s="8">
        <f t="shared" ref="S5:S7" si="3">POWER(2,-Q5)</f>
        <v>1.3435034257212961</v>
      </c>
    </row>
    <row r="6" spans="1:19">
      <c r="A6" s="21" t="s">
        <v>644</v>
      </c>
      <c r="B6" s="8">
        <v>24.105</v>
      </c>
      <c r="C6" s="8">
        <v>24.917999999999999</v>
      </c>
      <c r="D6" s="8">
        <v>24.331</v>
      </c>
      <c r="E6" s="62"/>
      <c r="F6" s="8">
        <v>16.321999999999999</v>
      </c>
      <c r="G6" s="8">
        <v>16.282</v>
      </c>
      <c r="H6" s="8">
        <v>16.521000000000001</v>
      </c>
      <c r="J6" s="8">
        <f t="shared" si="0"/>
        <v>7.7830000000000013</v>
      </c>
      <c r="K6" s="8">
        <f t="shared" si="0"/>
        <v>8.6359999999999992</v>
      </c>
      <c r="L6" s="8">
        <f t="shared" si="0"/>
        <v>7.8099999999999987</v>
      </c>
      <c r="N6" s="8">
        <f t="shared" si="1"/>
        <v>8.0763333333333325</v>
      </c>
      <c r="O6" s="8">
        <f t="shared" si="2"/>
        <v>0.48487352302774056</v>
      </c>
      <c r="Q6" s="8">
        <f>N6-N4</f>
        <v>-2.1666666666666501E-2</v>
      </c>
      <c r="S6" s="8">
        <f t="shared" si="3"/>
        <v>1.0151315285859746</v>
      </c>
    </row>
    <row r="7" spans="1:19">
      <c r="A7" s="21" t="s">
        <v>645</v>
      </c>
      <c r="B7" s="8">
        <v>26.512</v>
      </c>
      <c r="C7" s="8">
        <v>26.872</v>
      </c>
      <c r="D7" s="8">
        <v>26.295000000000002</v>
      </c>
      <c r="E7" s="62"/>
      <c r="F7" s="8">
        <v>17.934999999999999</v>
      </c>
      <c r="G7" s="8">
        <v>17.381</v>
      </c>
      <c r="H7" s="8">
        <v>17.234999999999999</v>
      </c>
      <c r="J7" s="8">
        <f t="shared" si="0"/>
        <v>8.5770000000000017</v>
      </c>
      <c r="K7" s="8">
        <f t="shared" si="0"/>
        <v>9.4909999999999997</v>
      </c>
      <c r="L7" s="8">
        <f t="shared" si="0"/>
        <v>9.0600000000000023</v>
      </c>
      <c r="N7" s="8">
        <f t="shared" si="1"/>
        <v>9.0426666666666673</v>
      </c>
      <c r="O7" s="8">
        <f t="shared" si="2"/>
        <v>0.45724646891291837</v>
      </c>
      <c r="Q7" s="8">
        <f>N7-N4</f>
        <v>0.94466666666666832</v>
      </c>
      <c r="S7" s="8">
        <f t="shared" si="3"/>
        <v>0.51954957922416845</v>
      </c>
    </row>
    <row r="8" spans="1:19">
      <c r="A8" s="21"/>
    </row>
    <row r="9" spans="1:19">
      <c r="A9" s="21" t="s">
        <v>542</v>
      </c>
    </row>
    <row r="10" spans="1:19">
      <c r="A10" s="70" t="s">
        <v>647</v>
      </c>
      <c r="B10" s="8">
        <v>26.395</v>
      </c>
      <c r="C10" s="8">
        <v>26.414999999999999</v>
      </c>
      <c r="D10" s="8">
        <v>26.969000000000001</v>
      </c>
      <c r="E10" s="62"/>
      <c r="F10" s="8">
        <v>17.413</v>
      </c>
      <c r="G10" s="8">
        <v>17.556000000000001</v>
      </c>
      <c r="H10" s="8">
        <v>17.283999999999999</v>
      </c>
      <c r="I10" s="62"/>
      <c r="J10" s="62">
        <f>B10-F10</f>
        <v>8.9819999999999993</v>
      </c>
      <c r="K10" s="62">
        <f>C10-G10</f>
        <v>8.8589999999999982</v>
      </c>
      <c r="L10" s="62">
        <f>D10-H10</f>
        <v>9.6850000000000023</v>
      </c>
      <c r="M10" s="62"/>
      <c r="N10" s="62">
        <f>AVERAGE(L10,J10)</f>
        <v>9.3335000000000008</v>
      </c>
      <c r="O10" s="8">
        <f>STDEV(J10,L10)</f>
        <v>0.49709606717414501</v>
      </c>
      <c r="Q10" s="8">
        <f>N10-N10</f>
        <v>0</v>
      </c>
      <c r="S10" s="8">
        <f>POWER(2,-Q10)</f>
        <v>1</v>
      </c>
    </row>
    <row r="11" spans="1:19">
      <c r="A11" s="70" t="s">
        <v>648</v>
      </c>
      <c r="B11" s="8">
        <v>26.295000000000002</v>
      </c>
      <c r="C11" s="8">
        <v>26.11</v>
      </c>
      <c r="D11" s="8">
        <v>26.832000000000001</v>
      </c>
      <c r="E11" s="62"/>
      <c r="F11" s="8">
        <v>17.835000000000001</v>
      </c>
      <c r="G11" s="8">
        <v>17.611999999999998</v>
      </c>
      <c r="H11" s="8">
        <v>17.143000000000001</v>
      </c>
      <c r="I11" s="62"/>
      <c r="J11" s="62">
        <f t="shared" ref="J11:L13" si="4">B11-F11</f>
        <v>8.4600000000000009</v>
      </c>
      <c r="K11" s="62">
        <f t="shared" si="4"/>
        <v>8.4980000000000011</v>
      </c>
      <c r="L11" s="62">
        <f t="shared" si="4"/>
        <v>9.6890000000000001</v>
      </c>
      <c r="M11" s="62"/>
      <c r="N11" s="62">
        <f t="shared" ref="N11:N13" si="5">AVERAGE(J11:L11)</f>
        <v>8.8823333333333334</v>
      </c>
      <c r="O11" s="8">
        <f t="shared" ref="O11:O13" si="6">STDEV(J11:L11)</f>
        <v>0.69885215413085233</v>
      </c>
      <c r="Q11" s="8">
        <f>N11-N10</f>
        <v>-0.45116666666666738</v>
      </c>
      <c r="S11" s="8">
        <f t="shared" ref="S11:S13" si="7">POWER(2,-Q11)</f>
        <v>1.3671453816470411</v>
      </c>
    </row>
    <row r="12" spans="1:19">
      <c r="A12" s="70" t="s">
        <v>649</v>
      </c>
      <c r="B12" s="8">
        <v>24.591999999999999</v>
      </c>
      <c r="C12" s="8">
        <v>24.294</v>
      </c>
      <c r="D12" s="8">
        <v>24.195</v>
      </c>
      <c r="E12" s="62"/>
      <c r="F12" s="8">
        <v>16.283000000000001</v>
      </c>
      <c r="G12" s="8">
        <v>16.183</v>
      </c>
      <c r="H12" s="8">
        <v>16.225000000000001</v>
      </c>
      <c r="I12" s="62"/>
      <c r="J12" s="62">
        <f t="shared" si="4"/>
        <v>8.3089999999999975</v>
      </c>
      <c r="K12" s="62">
        <f t="shared" si="4"/>
        <v>8.1110000000000007</v>
      </c>
      <c r="L12" s="62">
        <f t="shared" si="4"/>
        <v>7.9699999999999989</v>
      </c>
      <c r="M12" s="62"/>
      <c r="N12" s="62">
        <f t="shared" si="5"/>
        <v>8.129999999999999</v>
      </c>
      <c r="O12" s="8">
        <f t="shared" si="6"/>
        <v>0.17029679973504999</v>
      </c>
      <c r="Q12" s="8">
        <f>N12-N10</f>
        <v>-1.2035000000000018</v>
      </c>
      <c r="S12" s="8">
        <f t="shared" si="7"/>
        <v>2.3029769953680921</v>
      </c>
    </row>
    <row r="13" spans="1:19">
      <c r="A13" s="70" t="s">
        <v>650</v>
      </c>
      <c r="B13" s="8">
        <v>28.184000000000001</v>
      </c>
      <c r="C13" s="8">
        <v>28.552</v>
      </c>
      <c r="D13" s="8">
        <v>28.193999999999999</v>
      </c>
      <c r="E13" s="62"/>
      <c r="F13" s="8">
        <v>17.835000000000001</v>
      </c>
      <c r="G13" s="8">
        <v>17.617999999999999</v>
      </c>
      <c r="H13" s="8">
        <v>17.353999999999999</v>
      </c>
      <c r="I13" s="62"/>
      <c r="J13" s="62">
        <f t="shared" si="4"/>
        <v>10.349</v>
      </c>
      <c r="K13" s="62">
        <f t="shared" si="4"/>
        <v>10.934000000000001</v>
      </c>
      <c r="L13" s="62">
        <f t="shared" si="4"/>
        <v>10.84</v>
      </c>
      <c r="M13" s="62"/>
      <c r="N13" s="62">
        <f t="shared" si="5"/>
        <v>10.707666666666668</v>
      </c>
      <c r="O13" s="8">
        <f t="shared" si="6"/>
        <v>0.31415017640188186</v>
      </c>
      <c r="Q13" s="8">
        <f>N13-N10</f>
        <v>1.3741666666666674</v>
      </c>
      <c r="S13" s="8">
        <f t="shared" si="7"/>
        <v>0.385775474659939</v>
      </c>
    </row>
    <row r="14" spans="1:19">
      <c r="A14" s="70"/>
      <c r="E14" s="62"/>
      <c r="I14" s="62"/>
      <c r="J14" s="62"/>
      <c r="K14" s="62"/>
      <c r="L14" s="62"/>
      <c r="M14" s="62"/>
      <c r="N14" s="62"/>
    </row>
    <row r="15" spans="1:19">
      <c r="A15" s="70" t="s">
        <v>543</v>
      </c>
      <c r="B15" s="62"/>
      <c r="C15" s="62"/>
      <c r="D15" s="62"/>
      <c r="E15" s="62"/>
      <c r="F15" s="62"/>
      <c r="G15" s="63"/>
      <c r="H15" s="62"/>
      <c r="I15" s="62"/>
      <c r="J15" s="62"/>
      <c r="K15" s="62"/>
      <c r="L15" s="62"/>
      <c r="M15" s="62"/>
      <c r="N15" s="62"/>
    </row>
    <row r="16" spans="1:19">
      <c r="A16" s="70" t="s">
        <v>647</v>
      </c>
      <c r="B16" s="8">
        <v>26.393999999999998</v>
      </c>
      <c r="C16" s="8">
        <v>26.202999999999999</v>
      </c>
      <c r="D16" s="8">
        <v>26.195</v>
      </c>
      <c r="E16" s="62"/>
      <c r="F16" s="8">
        <v>18.385000000000002</v>
      </c>
      <c r="G16" s="8">
        <v>18.128</v>
      </c>
      <c r="H16" s="8">
        <v>18.622</v>
      </c>
      <c r="I16" s="62"/>
      <c r="J16" s="62">
        <f>B16-F16</f>
        <v>8.0089999999999968</v>
      </c>
      <c r="K16" s="62">
        <f>C16-G16</f>
        <v>8.0749999999999993</v>
      </c>
      <c r="L16" s="62">
        <f>D16-H16</f>
        <v>7.5730000000000004</v>
      </c>
      <c r="M16" s="62"/>
      <c r="N16" s="62">
        <f>AVERAGE(L16,J16)</f>
        <v>7.7909999999999986</v>
      </c>
      <c r="O16" s="8">
        <f>STDEV(J16,L16)</f>
        <v>0.30829855659733219</v>
      </c>
      <c r="Q16" s="8">
        <f>N16-N16</f>
        <v>0</v>
      </c>
      <c r="S16" s="8">
        <f>POWER(2,-Q16)</f>
        <v>1</v>
      </c>
    </row>
    <row r="17" spans="1:19">
      <c r="A17" s="70" t="s">
        <v>648</v>
      </c>
      <c r="B17" s="8">
        <v>24.129000000000001</v>
      </c>
      <c r="C17" s="8">
        <v>24.105</v>
      </c>
      <c r="D17" s="8">
        <v>24.693000000000001</v>
      </c>
      <c r="E17" s="62"/>
      <c r="F17" s="8">
        <v>17.535</v>
      </c>
      <c r="G17" s="8">
        <v>17.628</v>
      </c>
      <c r="H17" s="8">
        <v>17.922999999999998</v>
      </c>
      <c r="I17" s="62"/>
      <c r="J17" s="62">
        <f t="shared" ref="J17:L19" si="8">B17-F17</f>
        <v>6.5940000000000012</v>
      </c>
      <c r="K17" s="62">
        <f t="shared" si="8"/>
        <v>6.4770000000000003</v>
      </c>
      <c r="L17" s="62">
        <f t="shared" si="8"/>
        <v>6.7700000000000031</v>
      </c>
      <c r="M17" s="62"/>
      <c r="N17" s="62">
        <f t="shared" ref="N17:N19" si="9">AVERAGE(J17:L17)</f>
        <v>6.6136666666666679</v>
      </c>
      <c r="O17" s="8">
        <f t="shared" ref="O17:O19" si="10">STDEV(J17:L17)</f>
        <v>0.14748672256624917</v>
      </c>
      <c r="Q17" s="8">
        <f>N17-N16</f>
        <v>-1.1773333333333307</v>
      </c>
      <c r="S17" s="8">
        <f t="shared" ref="S17:S19" si="11">POWER(2,-Q17)</f>
        <v>2.2615836106557894</v>
      </c>
    </row>
    <row r="18" spans="1:19">
      <c r="A18" s="70" t="s">
        <v>649</v>
      </c>
      <c r="B18" s="8">
        <v>28.937999999999999</v>
      </c>
      <c r="C18" s="8">
        <v>28.194500000000001</v>
      </c>
      <c r="D18" s="8">
        <v>28.513000000000002</v>
      </c>
      <c r="E18" s="62"/>
      <c r="F18" s="8">
        <v>16.853999999999999</v>
      </c>
      <c r="G18" s="8">
        <v>16.324999999999999</v>
      </c>
      <c r="H18" s="8">
        <v>16.347999999999999</v>
      </c>
      <c r="I18" s="62"/>
      <c r="J18" s="62">
        <f t="shared" si="8"/>
        <v>12.084</v>
      </c>
      <c r="K18" s="62">
        <f t="shared" si="8"/>
        <v>11.869500000000002</v>
      </c>
      <c r="L18" s="62">
        <f t="shared" si="8"/>
        <v>12.165000000000003</v>
      </c>
      <c r="M18" s="62"/>
      <c r="N18" s="62">
        <f t="shared" si="9"/>
        <v>12.039500000000002</v>
      </c>
      <c r="O18" s="8">
        <f t="shared" si="10"/>
        <v>0.15269332008964884</v>
      </c>
      <c r="Q18" s="8">
        <f>N18-N16</f>
        <v>4.2485000000000035</v>
      </c>
      <c r="S18" s="8">
        <f t="shared" si="11"/>
        <v>5.2610697962059944E-2</v>
      </c>
    </row>
    <row r="19" spans="1:19">
      <c r="A19" s="70" t="s">
        <v>650</v>
      </c>
      <c r="B19" s="8">
        <v>26.428999999999998</v>
      </c>
      <c r="C19" s="8">
        <v>26.934999999999999</v>
      </c>
      <c r="D19" s="8">
        <v>26.524000000000001</v>
      </c>
      <c r="E19" s="62"/>
      <c r="F19" s="8">
        <v>18.236000000000001</v>
      </c>
      <c r="G19" s="8">
        <v>18.251000000000001</v>
      </c>
      <c r="H19" s="8">
        <v>18.628</v>
      </c>
      <c r="I19" s="62"/>
      <c r="J19" s="62">
        <f t="shared" si="8"/>
        <v>8.1929999999999978</v>
      </c>
      <c r="K19" s="62">
        <f t="shared" si="8"/>
        <v>8.6839999999999975</v>
      </c>
      <c r="L19" s="62">
        <f t="shared" si="8"/>
        <v>7.8960000000000008</v>
      </c>
      <c r="M19" s="62"/>
      <c r="N19" s="62">
        <f t="shared" si="9"/>
        <v>8.2576666666666654</v>
      </c>
      <c r="O19" s="8">
        <f t="shared" si="10"/>
        <v>0.39796021576701873</v>
      </c>
      <c r="Q19" s="8">
        <f>N19-N16</f>
        <v>0.46666666666666679</v>
      </c>
      <c r="S19" s="8">
        <f t="shared" si="11"/>
        <v>0.72363461872018897</v>
      </c>
    </row>
    <row r="20" spans="1:19">
      <c r="A20" s="70"/>
      <c r="E20" s="62"/>
      <c r="I20" s="62"/>
      <c r="J20" s="62"/>
      <c r="K20" s="62"/>
      <c r="L20" s="62"/>
      <c r="M20" s="62"/>
      <c r="N20" s="62"/>
    </row>
    <row r="21" spans="1:19">
      <c r="A21" s="70" t="s">
        <v>544</v>
      </c>
      <c r="B21" s="62"/>
      <c r="C21" s="62"/>
      <c r="D21" s="62"/>
      <c r="E21" s="62"/>
      <c r="F21" s="63"/>
      <c r="G21" s="63"/>
      <c r="H21" s="62"/>
      <c r="I21" s="62"/>
      <c r="J21" s="62"/>
      <c r="K21" s="62"/>
      <c r="L21" s="62"/>
      <c r="M21" s="62"/>
      <c r="N21" s="62"/>
    </row>
    <row r="22" spans="1:19">
      <c r="A22" s="70" t="s">
        <v>647</v>
      </c>
      <c r="B22" s="8">
        <v>26.582000000000001</v>
      </c>
      <c r="C22" s="8">
        <v>26.184999999999999</v>
      </c>
      <c r="D22" s="8">
        <v>26.943999999999999</v>
      </c>
      <c r="E22" s="62"/>
      <c r="F22" s="8">
        <v>16.527999999999999</v>
      </c>
      <c r="G22" s="8">
        <v>16.448</v>
      </c>
      <c r="H22" s="8">
        <v>16.728000000000002</v>
      </c>
      <c r="I22" s="62"/>
      <c r="J22" s="62">
        <f>B22-F22</f>
        <v>10.054000000000002</v>
      </c>
      <c r="K22" s="62">
        <f>C22-G22</f>
        <v>9.7369999999999983</v>
      </c>
      <c r="L22" s="62">
        <f>D22-H22</f>
        <v>10.215999999999998</v>
      </c>
      <c r="M22" s="62"/>
      <c r="N22" s="62">
        <f>AVERAGE(L22,J22)</f>
        <v>10.135</v>
      </c>
      <c r="O22" s="8">
        <f>STDEV(J22,L22)</f>
        <v>0.1145512985522175</v>
      </c>
      <c r="Q22" s="8">
        <f>N22-N22</f>
        <v>0</v>
      </c>
      <c r="S22" s="8">
        <f>POWER(2,-Q22)</f>
        <v>1</v>
      </c>
    </row>
    <row r="23" spans="1:19">
      <c r="A23" s="70" t="s">
        <v>648</v>
      </c>
      <c r="B23" s="8">
        <v>28.518000000000001</v>
      </c>
      <c r="C23" s="8">
        <v>28.347999999999999</v>
      </c>
      <c r="D23" s="8">
        <v>28.542999999999999</v>
      </c>
      <c r="E23" s="62"/>
      <c r="F23" s="8">
        <v>19.835000000000001</v>
      </c>
      <c r="G23" s="8">
        <v>19.623999999999999</v>
      </c>
      <c r="H23" s="8">
        <v>19.283000000000001</v>
      </c>
      <c r="I23" s="62"/>
      <c r="J23" s="62">
        <f t="shared" ref="J23:L25" si="12">B23-F23</f>
        <v>8.6829999999999998</v>
      </c>
      <c r="K23" s="62">
        <f t="shared" si="12"/>
        <v>8.7240000000000002</v>
      </c>
      <c r="L23" s="62">
        <f t="shared" si="12"/>
        <v>9.259999999999998</v>
      </c>
      <c r="M23" s="62"/>
      <c r="N23" s="62">
        <f t="shared" ref="N23:N25" si="13">AVERAGE(J23:L23)</f>
        <v>8.8889999999999993</v>
      </c>
      <c r="O23" s="8">
        <f t="shared" ref="O23:O25" si="14">STDEV(J23:L23)</f>
        <v>0.32194875368604747</v>
      </c>
      <c r="Q23" s="8">
        <f>N23-N22</f>
        <v>-1.2460000000000004</v>
      </c>
      <c r="S23" s="8">
        <f t="shared" ref="S23:S25" si="15">POWER(2,-Q23)</f>
        <v>2.3718289988218966</v>
      </c>
    </row>
    <row r="24" spans="1:19">
      <c r="A24" s="70" t="s">
        <v>649</v>
      </c>
      <c r="B24" s="8">
        <v>26.391999999999999</v>
      </c>
      <c r="C24" s="8">
        <v>26.295000000000002</v>
      </c>
      <c r="D24" s="8">
        <v>26.722999999999999</v>
      </c>
      <c r="E24" s="62"/>
      <c r="F24" s="8">
        <v>18.236999999999998</v>
      </c>
      <c r="G24" s="8">
        <v>18.721</v>
      </c>
      <c r="H24" s="8">
        <v>18.626999999999999</v>
      </c>
      <c r="I24" s="62"/>
      <c r="J24" s="62">
        <f t="shared" si="12"/>
        <v>8.1550000000000011</v>
      </c>
      <c r="K24" s="62">
        <f t="shared" si="12"/>
        <v>7.5740000000000016</v>
      </c>
      <c r="L24" s="62">
        <f t="shared" si="12"/>
        <v>8.0960000000000001</v>
      </c>
      <c r="M24" s="62"/>
      <c r="N24" s="62">
        <f t="shared" si="13"/>
        <v>7.9416666666666673</v>
      </c>
      <c r="O24" s="8">
        <f t="shared" si="14"/>
        <v>0.31977231483249607</v>
      </c>
      <c r="Q24" s="8">
        <f>N24-N22</f>
        <v>-2.1933333333333325</v>
      </c>
      <c r="S24" s="8">
        <f t="shared" si="15"/>
        <v>4.5736099478676202</v>
      </c>
    </row>
    <row r="25" spans="1:19">
      <c r="A25" s="70" t="s">
        <v>650</v>
      </c>
      <c r="B25" s="8">
        <v>27.448</v>
      </c>
      <c r="C25" s="8">
        <v>27.419</v>
      </c>
      <c r="D25" s="8">
        <v>27.193999999999999</v>
      </c>
      <c r="E25" s="62"/>
      <c r="F25" s="8">
        <v>18.210999999999999</v>
      </c>
      <c r="G25" s="8">
        <v>18.263999999999999</v>
      </c>
      <c r="H25" s="8">
        <v>18.623999999999999</v>
      </c>
      <c r="I25" s="62"/>
      <c r="J25" s="62">
        <f t="shared" si="12"/>
        <v>9.2370000000000019</v>
      </c>
      <c r="K25" s="62">
        <f t="shared" si="12"/>
        <v>9.1550000000000011</v>
      </c>
      <c r="L25" s="62">
        <f t="shared" si="12"/>
        <v>8.57</v>
      </c>
      <c r="M25" s="62"/>
      <c r="N25" s="62">
        <f t="shared" si="13"/>
        <v>8.9873333333333338</v>
      </c>
      <c r="O25" s="8">
        <f t="shared" si="14"/>
        <v>0.36373937556076308</v>
      </c>
      <c r="Q25" s="8">
        <f>N25-N22</f>
        <v>-1.1476666666666659</v>
      </c>
      <c r="S25" s="8">
        <f t="shared" si="15"/>
        <v>2.2155527352108657</v>
      </c>
    </row>
    <row r="26" spans="1:19">
      <c r="A26" s="70"/>
      <c r="E26" s="62"/>
      <c r="I26" s="62"/>
      <c r="J26" s="62"/>
      <c r="K26" s="62"/>
      <c r="L26" s="62"/>
      <c r="M26" s="62"/>
      <c r="N26" s="62"/>
    </row>
    <row r="27" spans="1:19">
      <c r="A27" s="70" t="s">
        <v>545</v>
      </c>
      <c r="B27" s="62"/>
      <c r="C27" s="62"/>
      <c r="D27" s="62"/>
      <c r="E27" s="62"/>
      <c r="F27" s="63"/>
      <c r="G27" s="63"/>
      <c r="H27" s="62"/>
      <c r="I27" s="62"/>
      <c r="J27" s="62"/>
      <c r="K27" s="62"/>
      <c r="L27" s="62"/>
      <c r="M27" s="62"/>
      <c r="N27" s="62"/>
    </row>
    <row r="28" spans="1:19">
      <c r="A28" s="70" t="s">
        <v>642</v>
      </c>
      <c r="B28" s="8">
        <v>25.035</v>
      </c>
      <c r="C28" s="8">
        <v>23.507000000000001</v>
      </c>
      <c r="D28" s="8">
        <v>23.353999999999999</v>
      </c>
      <c r="E28" s="62"/>
      <c r="F28" s="8">
        <v>17.629000000000001</v>
      </c>
      <c r="G28" s="8">
        <v>17.263000000000002</v>
      </c>
      <c r="H28" s="8">
        <v>17.195</v>
      </c>
      <c r="I28" s="62"/>
      <c r="J28" s="62">
        <f>B28-F28</f>
        <v>7.4059999999999988</v>
      </c>
      <c r="K28" s="62">
        <f>C28-G28</f>
        <v>6.2439999999999998</v>
      </c>
      <c r="L28" s="62">
        <f>D28-H28</f>
        <v>6.1589999999999989</v>
      </c>
      <c r="M28" s="62"/>
      <c r="N28" s="62">
        <f>AVERAGE(L28,J28)</f>
        <v>6.7824999999999989</v>
      </c>
      <c r="O28" s="8">
        <f>STDEV(J28,L28)</f>
        <v>0.88176215613962461</v>
      </c>
      <c r="Q28" s="8">
        <f>N28-N28</f>
        <v>0</v>
      </c>
      <c r="S28" s="8">
        <f>POWER(2,-Q28)</f>
        <v>1</v>
      </c>
    </row>
    <row r="29" spans="1:19">
      <c r="A29" s="70" t="s">
        <v>643</v>
      </c>
      <c r="B29" s="8">
        <v>23.844999999999999</v>
      </c>
      <c r="C29" s="8">
        <v>23.285</v>
      </c>
      <c r="D29" s="8">
        <v>23.547999999999998</v>
      </c>
      <c r="E29" s="62"/>
      <c r="F29" s="8">
        <v>17.628</v>
      </c>
      <c r="G29" s="8">
        <v>17.922000000000001</v>
      </c>
      <c r="H29" s="8">
        <v>17.623000000000001</v>
      </c>
      <c r="I29" s="62"/>
      <c r="J29" s="62">
        <f t="shared" ref="J29:L31" si="16">B29-F29</f>
        <v>6.2169999999999987</v>
      </c>
      <c r="K29" s="62">
        <f t="shared" si="16"/>
        <v>5.3629999999999995</v>
      </c>
      <c r="L29" s="62">
        <f t="shared" si="16"/>
        <v>5.9249999999999972</v>
      </c>
      <c r="M29" s="62"/>
      <c r="N29" s="62">
        <f t="shared" ref="N29:N31" si="17">AVERAGE(J29:L29)</f>
        <v>5.8349999999999982</v>
      </c>
      <c r="O29" s="8">
        <f t="shared" ref="O29:O31" si="18">STDEV(J29:L29)</f>
        <v>0.43405529601653231</v>
      </c>
      <c r="Q29" s="8">
        <f>N29-N28</f>
        <v>-0.94750000000000068</v>
      </c>
      <c r="S29" s="8">
        <f t="shared" ref="S29:S31" si="19">POWER(2,-Q29)</f>
        <v>1.9285278765039024</v>
      </c>
    </row>
    <row r="30" spans="1:19">
      <c r="A30" s="70" t="s">
        <v>644</v>
      </c>
      <c r="B30" s="8">
        <v>23.491</v>
      </c>
      <c r="C30" s="8">
        <v>23.719000000000001</v>
      </c>
      <c r="D30" s="8">
        <v>23.943000000000001</v>
      </c>
      <c r="E30" s="62"/>
      <c r="F30" s="8">
        <v>18.428000000000001</v>
      </c>
      <c r="G30" s="8">
        <v>18.710999999999999</v>
      </c>
      <c r="H30" s="8">
        <v>18.358000000000001</v>
      </c>
      <c r="I30" s="62"/>
      <c r="J30" s="62">
        <f t="shared" si="16"/>
        <v>5.0629999999999988</v>
      </c>
      <c r="K30" s="62">
        <f t="shared" si="16"/>
        <v>5.0080000000000027</v>
      </c>
      <c r="L30" s="62">
        <f t="shared" si="16"/>
        <v>5.5850000000000009</v>
      </c>
      <c r="M30" s="62"/>
      <c r="N30" s="62">
        <f t="shared" si="17"/>
        <v>5.2186666666666675</v>
      </c>
      <c r="O30" s="8">
        <f t="shared" si="18"/>
        <v>0.31844361091617657</v>
      </c>
      <c r="Q30" s="8">
        <f>N30-N28</f>
        <v>-1.5638333333333314</v>
      </c>
      <c r="S30" s="8">
        <f t="shared" si="19"/>
        <v>2.9563833080266613</v>
      </c>
    </row>
    <row r="31" spans="1:19">
      <c r="A31" s="70" t="s">
        <v>650</v>
      </c>
      <c r="B31" s="8">
        <v>28.481000000000002</v>
      </c>
      <c r="C31" s="8">
        <v>28.117999999999999</v>
      </c>
      <c r="D31" s="8">
        <v>28.422999999999998</v>
      </c>
      <c r="E31" s="62"/>
      <c r="F31" s="8">
        <v>18.734000000000002</v>
      </c>
      <c r="G31" s="8">
        <v>18.143999999999998</v>
      </c>
      <c r="H31" s="8">
        <v>18.853000000000002</v>
      </c>
      <c r="I31" s="62"/>
      <c r="J31" s="62">
        <f t="shared" si="16"/>
        <v>9.7469999999999999</v>
      </c>
      <c r="K31" s="62">
        <f t="shared" si="16"/>
        <v>9.9740000000000002</v>
      </c>
      <c r="L31" s="62">
        <f t="shared" si="16"/>
        <v>9.5699999999999967</v>
      </c>
      <c r="M31" s="62"/>
      <c r="N31" s="62">
        <f t="shared" si="17"/>
        <v>9.7636666666666656</v>
      </c>
      <c r="O31" s="8">
        <f t="shared" si="18"/>
        <v>0.20251502001909391</v>
      </c>
      <c r="Q31" s="8">
        <f>N31-N28</f>
        <v>2.9811666666666667</v>
      </c>
      <c r="S31" s="8">
        <f t="shared" si="19"/>
        <v>0.12664248136162398</v>
      </c>
    </row>
    <row r="32" spans="1:19">
      <c r="D32" s="64"/>
      <c r="G32" s="64"/>
    </row>
    <row r="33" spans="4:7">
      <c r="D33" s="64"/>
      <c r="G33" s="64"/>
    </row>
    <row r="34" spans="4:7">
      <c r="D34" s="64"/>
      <c r="G34" s="64"/>
    </row>
    <row r="35" spans="4:7">
      <c r="D35" s="64"/>
      <c r="F35" s="64"/>
      <c r="G35" s="64"/>
    </row>
    <row r="36" spans="4:7">
      <c r="D36" s="64"/>
      <c r="F36" s="64"/>
      <c r="G36" s="64"/>
    </row>
    <row r="37" spans="4:7">
      <c r="D37" s="64"/>
      <c r="F37" s="64"/>
      <c r="G37" s="64"/>
    </row>
    <row r="38" spans="4:7">
      <c r="D38" s="64"/>
      <c r="F38" s="64"/>
    </row>
    <row r="39" spans="4:7">
      <c r="D39" s="64"/>
      <c r="F39" s="64"/>
    </row>
    <row r="40" spans="4:7">
      <c r="D40" s="64"/>
      <c r="F40" s="64"/>
    </row>
    <row r="41" spans="4:7">
      <c r="D41" s="64"/>
      <c r="F41" s="64"/>
    </row>
    <row r="42" spans="4:7">
      <c r="F42" s="64"/>
    </row>
    <row r="43" spans="4:7">
      <c r="F43" s="64"/>
    </row>
    <row r="44" spans="4:7">
      <c r="F44" s="64"/>
    </row>
    <row r="45" spans="4:7">
      <c r="F45" s="64"/>
    </row>
    <row r="46" spans="4:7">
      <c r="F46" s="64"/>
    </row>
    <row r="47" spans="4:7">
      <c r="F47" s="64"/>
    </row>
    <row r="48" spans="4:7">
      <c r="F48" s="64"/>
    </row>
    <row r="49" spans="6:6">
      <c r="F49" s="64"/>
    </row>
  </sheetData>
  <mergeCells count="2">
    <mergeCell ref="B2:D2"/>
    <mergeCell ref="F2:H2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9"/>
  <sheetViews>
    <sheetView workbookViewId="0">
      <selection activeCell="D15" sqref="A1:D15"/>
    </sheetView>
  </sheetViews>
  <sheetFormatPr defaultRowHeight="15"/>
  <cols>
    <col min="1" max="1" width="28.140625" style="8" customWidth="1"/>
    <col min="2" max="2" width="12.5703125" style="8" customWidth="1"/>
    <col min="3" max="3" width="9.140625" style="8"/>
    <col min="4" max="4" width="11.42578125" style="8" customWidth="1"/>
    <col min="5" max="10" width="9.140625" style="8"/>
    <col min="11" max="11" width="12.7109375" style="8" bestFit="1" customWidth="1"/>
    <col min="12" max="16384" width="9.140625" style="8"/>
  </cols>
  <sheetData>
    <row r="1" spans="1:20">
      <c r="A1" s="21" t="s">
        <v>658</v>
      </c>
      <c r="B1" s="21" t="s">
        <v>654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</row>
    <row r="2" spans="1:20">
      <c r="B2" s="175" t="s">
        <v>632</v>
      </c>
      <c r="C2" s="175"/>
      <c r="D2" s="175"/>
      <c r="E2" s="21"/>
      <c r="F2" s="175" t="s">
        <v>633</v>
      </c>
      <c r="G2" s="175"/>
      <c r="H2" s="175"/>
      <c r="I2" s="21"/>
      <c r="J2" s="100" t="s">
        <v>191</v>
      </c>
      <c r="K2" s="21"/>
      <c r="L2" s="21"/>
      <c r="M2" s="21"/>
      <c r="N2" s="21" t="s">
        <v>634</v>
      </c>
      <c r="O2" s="21" t="s">
        <v>635</v>
      </c>
      <c r="P2" s="21"/>
      <c r="Q2" s="21" t="s">
        <v>636</v>
      </c>
      <c r="R2" s="21"/>
      <c r="S2" s="21" t="s">
        <v>637</v>
      </c>
      <c r="T2" s="21"/>
    </row>
    <row r="3" spans="1:20">
      <c r="A3" s="21" t="s">
        <v>541</v>
      </c>
      <c r="B3" s="21" t="s">
        <v>638</v>
      </c>
      <c r="C3" s="21" t="s">
        <v>639</v>
      </c>
      <c r="D3" s="21" t="s">
        <v>640</v>
      </c>
      <c r="E3" s="21"/>
      <c r="F3" s="21" t="s">
        <v>641</v>
      </c>
      <c r="G3" s="21" t="s">
        <v>639</v>
      </c>
      <c r="H3" s="21" t="s">
        <v>640</v>
      </c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</row>
    <row r="4" spans="1:20">
      <c r="A4" s="21" t="s">
        <v>642</v>
      </c>
      <c r="B4" s="8">
        <v>28.934999999999999</v>
      </c>
      <c r="C4" s="8">
        <v>28.184000000000001</v>
      </c>
      <c r="D4" s="8">
        <v>28.667999999999999</v>
      </c>
      <c r="E4" s="62"/>
      <c r="F4" s="8">
        <v>16.295000000000002</v>
      </c>
      <c r="G4" s="8">
        <v>16.295000000000002</v>
      </c>
      <c r="H4" s="8">
        <v>16.423999999999999</v>
      </c>
      <c r="J4" s="8">
        <f>B4-F4</f>
        <v>12.639999999999997</v>
      </c>
      <c r="K4" s="8">
        <f>C4-G4</f>
        <v>11.888999999999999</v>
      </c>
      <c r="L4" s="8">
        <f>D4-H4</f>
        <v>12.244</v>
      </c>
      <c r="N4" s="8">
        <f>AVERAGE(L4,J4)</f>
        <v>12.441999999999998</v>
      </c>
      <c r="O4" s="8">
        <f>STDEV(J4,L4)</f>
        <v>0.28001428534987088</v>
      </c>
      <c r="Q4" s="8">
        <f>N4-N4</f>
        <v>0</v>
      </c>
      <c r="S4" s="8">
        <f>POWER(2,-Q4)</f>
        <v>1</v>
      </c>
    </row>
    <row r="5" spans="1:20">
      <c r="A5" s="21" t="s">
        <v>643</v>
      </c>
      <c r="B5" s="8">
        <v>25.846</v>
      </c>
      <c r="C5" s="8">
        <v>25.395</v>
      </c>
      <c r="D5" s="8">
        <v>25.184999999999999</v>
      </c>
      <c r="E5" s="62"/>
      <c r="F5" s="8">
        <v>16.923999999999999</v>
      </c>
      <c r="G5" s="8">
        <v>16.882000000000001</v>
      </c>
      <c r="H5" s="8">
        <v>16.283999999999999</v>
      </c>
      <c r="J5" s="8">
        <f t="shared" ref="J5:L7" si="0">B5-F5</f>
        <v>8.9220000000000006</v>
      </c>
      <c r="K5" s="8">
        <f t="shared" si="0"/>
        <v>8.5129999999999981</v>
      </c>
      <c r="L5" s="8">
        <f t="shared" si="0"/>
        <v>8.9009999999999998</v>
      </c>
      <c r="N5" s="8">
        <f t="shared" ref="N5:N7" si="1">AVERAGE(J5:L5)</f>
        <v>8.7786666666666662</v>
      </c>
      <c r="O5" s="8">
        <f t="shared" ref="O5:O7" si="2">STDEV(J5:L5)</f>
        <v>0.23031355438474282</v>
      </c>
      <c r="Q5" s="8">
        <f>N5-N4</f>
        <v>-3.6633333333333322</v>
      </c>
      <c r="S5" s="8">
        <f t="shared" ref="S5:S7" si="3">POWER(2,-Q5)</f>
        <v>12.669900884475503</v>
      </c>
    </row>
    <row r="6" spans="1:20">
      <c r="A6" s="21" t="s">
        <v>644</v>
      </c>
      <c r="B6" s="8">
        <v>26.983000000000001</v>
      </c>
      <c r="C6" s="8">
        <v>26.385000000000002</v>
      </c>
      <c r="D6" s="8">
        <v>26.585999999999999</v>
      </c>
      <c r="E6" s="62"/>
      <c r="F6" s="8">
        <v>16.321999999999999</v>
      </c>
      <c r="G6" s="8">
        <v>16.282</v>
      </c>
      <c r="H6" s="8">
        <v>16.521000000000001</v>
      </c>
      <c r="J6" s="8">
        <f t="shared" si="0"/>
        <v>10.661000000000001</v>
      </c>
      <c r="K6" s="8">
        <f t="shared" si="0"/>
        <v>10.103000000000002</v>
      </c>
      <c r="L6" s="8">
        <f t="shared" si="0"/>
        <v>10.064999999999998</v>
      </c>
      <c r="N6" s="8">
        <f t="shared" si="1"/>
        <v>10.276333333333334</v>
      </c>
      <c r="O6" s="8">
        <f t="shared" si="2"/>
        <v>0.33367249412160732</v>
      </c>
      <c r="Q6" s="8">
        <f>N6-N4</f>
        <v>-2.1656666666666649</v>
      </c>
      <c r="S6" s="8">
        <f t="shared" si="3"/>
        <v>4.4867371459525875</v>
      </c>
    </row>
    <row r="7" spans="1:20">
      <c r="A7" s="21" t="s">
        <v>645</v>
      </c>
      <c r="B7" s="8">
        <v>25.663</v>
      </c>
      <c r="C7" s="8">
        <v>25.844999999999999</v>
      </c>
      <c r="D7" s="8">
        <v>25.745000000000001</v>
      </c>
      <c r="E7" s="62"/>
      <c r="F7" s="8">
        <v>17.934999999999999</v>
      </c>
      <c r="G7" s="8">
        <v>17.381</v>
      </c>
      <c r="H7" s="8">
        <v>17.234999999999999</v>
      </c>
      <c r="J7" s="8">
        <f t="shared" si="0"/>
        <v>7.7280000000000015</v>
      </c>
      <c r="K7" s="8">
        <f t="shared" si="0"/>
        <v>8.4639999999999986</v>
      </c>
      <c r="L7" s="8">
        <f t="shared" si="0"/>
        <v>8.5100000000000016</v>
      </c>
      <c r="N7" s="8">
        <f t="shared" si="1"/>
        <v>8.234</v>
      </c>
      <c r="O7" s="8">
        <f t="shared" si="2"/>
        <v>0.43881203265179425</v>
      </c>
      <c r="Q7" s="8">
        <f>N7-N4</f>
        <v>-4.2079999999999984</v>
      </c>
      <c r="S7" s="8">
        <f t="shared" si="3"/>
        <v>18.481372552857323</v>
      </c>
    </row>
    <row r="8" spans="1:20">
      <c r="A8" s="21"/>
    </row>
    <row r="9" spans="1:20">
      <c r="A9" s="21" t="s">
        <v>542</v>
      </c>
    </row>
    <row r="10" spans="1:20">
      <c r="A10" s="70" t="s">
        <v>647</v>
      </c>
      <c r="B10" s="8">
        <v>27.745000000000001</v>
      </c>
      <c r="C10" s="8">
        <v>27.193000000000001</v>
      </c>
      <c r="D10" s="8">
        <v>27.395</v>
      </c>
      <c r="E10" s="62"/>
      <c r="F10" s="8">
        <v>17.413</v>
      </c>
      <c r="G10" s="8">
        <v>17.556000000000001</v>
      </c>
      <c r="H10" s="8">
        <v>17.283999999999999</v>
      </c>
      <c r="I10" s="62"/>
      <c r="J10" s="62">
        <f>B10-F10</f>
        <v>10.332000000000001</v>
      </c>
      <c r="K10" s="62">
        <f>C10-G10</f>
        <v>9.6370000000000005</v>
      </c>
      <c r="L10" s="62">
        <f>D10-H10</f>
        <v>10.111000000000001</v>
      </c>
      <c r="M10" s="62"/>
      <c r="N10" s="62">
        <f>AVERAGE(L10,J10)</f>
        <v>10.221500000000001</v>
      </c>
      <c r="O10" s="8">
        <f>STDEV(J10,L10)</f>
        <v>0.15627059864222706</v>
      </c>
      <c r="Q10" s="8">
        <f>N10-N10</f>
        <v>0</v>
      </c>
      <c r="S10" s="8">
        <f>POWER(2,-Q10)</f>
        <v>1</v>
      </c>
    </row>
    <row r="11" spans="1:20">
      <c r="A11" s="70" t="s">
        <v>648</v>
      </c>
      <c r="B11" s="8">
        <v>25.634</v>
      </c>
      <c r="C11" s="8">
        <v>25.783000000000001</v>
      </c>
      <c r="D11" s="8">
        <v>25.384</v>
      </c>
      <c r="E11" s="62"/>
      <c r="F11" s="8">
        <v>17.835000000000001</v>
      </c>
      <c r="G11" s="8">
        <v>17.611999999999998</v>
      </c>
      <c r="H11" s="8">
        <v>17.143000000000001</v>
      </c>
      <c r="I11" s="62"/>
      <c r="J11" s="62">
        <f t="shared" ref="J11:L13" si="4">B11-F11</f>
        <v>7.7989999999999995</v>
      </c>
      <c r="K11" s="62">
        <f t="shared" si="4"/>
        <v>8.1710000000000029</v>
      </c>
      <c r="L11" s="62">
        <f t="shared" si="4"/>
        <v>8.2409999999999997</v>
      </c>
      <c r="M11" s="62"/>
      <c r="N11" s="62">
        <f t="shared" ref="N11:N13" si="5">AVERAGE(J11:L11)</f>
        <v>8.070333333333334</v>
      </c>
      <c r="O11" s="8">
        <f t="shared" ref="O11:O13" si="6">STDEV(J11:L11)</f>
        <v>0.23757384816796168</v>
      </c>
      <c r="Q11" s="8">
        <f>N11-N10</f>
        <v>-2.1511666666666667</v>
      </c>
      <c r="S11" s="8">
        <f t="shared" ref="S11:S13" si="7">POWER(2,-Q11)</f>
        <v>4.4418684496406744</v>
      </c>
    </row>
    <row r="12" spans="1:20">
      <c r="A12" s="70" t="s">
        <v>649</v>
      </c>
      <c r="B12" s="8">
        <v>27.395</v>
      </c>
      <c r="C12" s="8">
        <v>27.834</v>
      </c>
      <c r="D12" s="8">
        <v>27.734999999999999</v>
      </c>
      <c r="E12" s="62"/>
      <c r="F12" s="8">
        <v>16.283000000000001</v>
      </c>
      <c r="G12" s="8">
        <v>16.183</v>
      </c>
      <c r="H12" s="8">
        <v>16.225000000000001</v>
      </c>
      <c r="I12" s="62"/>
      <c r="J12" s="62">
        <f t="shared" si="4"/>
        <v>11.111999999999998</v>
      </c>
      <c r="K12" s="62">
        <f t="shared" si="4"/>
        <v>11.651</v>
      </c>
      <c r="L12" s="62">
        <f t="shared" si="4"/>
        <v>11.509999999999998</v>
      </c>
      <c r="M12" s="62"/>
      <c r="N12" s="62">
        <f t="shared" si="5"/>
        <v>11.424333333333331</v>
      </c>
      <c r="O12" s="8">
        <f t="shared" si="6"/>
        <v>0.27952519266308296</v>
      </c>
      <c r="Q12" s="8">
        <f>N12-N10</f>
        <v>1.2028333333333308</v>
      </c>
      <c r="S12" s="8">
        <f t="shared" si="7"/>
        <v>0.43442127599032021</v>
      </c>
    </row>
    <row r="13" spans="1:20">
      <c r="A13" s="70" t="s">
        <v>650</v>
      </c>
      <c r="B13" s="8">
        <v>25.193999999999999</v>
      </c>
      <c r="C13" s="8">
        <v>25.353999999999999</v>
      </c>
      <c r="D13" s="8">
        <v>25.294</v>
      </c>
      <c r="E13" s="62"/>
      <c r="F13" s="8">
        <v>17.835000000000001</v>
      </c>
      <c r="G13" s="8">
        <v>17.617999999999999</v>
      </c>
      <c r="H13" s="8">
        <v>17.353999999999999</v>
      </c>
      <c r="I13" s="62"/>
      <c r="J13" s="62">
        <f t="shared" si="4"/>
        <v>7.3589999999999982</v>
      </c>
      <c r="K13" s="62">
        <f t="shared" si="4"/>
        <v>7.7360000000000007</v>
      </c>
      <c r="L13" s="62">
        <f t="shared" si="4"/>
        <v>7.9400000000000013</v>
      </c>
      <c r="M13" s="62"/>
      <c r="N13" s="62">
        <f t="shared" si="5"/>
        <v>7.6783333333333337</v>
      </c>
      <c r="O13" s="8">
        <f t="shared" si="6"/>
        <v>0.29476148549858794</v>
      </c>
      <c r="Q13" s="8">
        <f>N13-N10</f>
        <v>-2.543166666666667</v>
      </c>
      <c r="S13" s="8">
        <f t="shared" si="7"/>
        <v>5.8286697710354396</v>
      </c>
    </row>
    <row r="14" spans="1:20">
      <c r="A14" s="70"/>
      <c r="E14" s="62"/>
      <c r="I14" s="62"/>
      <c r="J14" s="62"/>
      <c r="K14" s="62"/>
      <c r="L14" s="62"/>
      <c r="M14" s="62"/>
      <c r="N14" s="62"/>
    </row>
    <row r="15" spans="1:20">
      <c r="A15" s="70" t="s">
        <v>543</v>
      </c>
      <c r="B15" s="62"/>
      <c r="C15" s="62"/>
      <c r="D15" s="62"/>
      <c r="E15" s="62"/>
      <c r="F15" s="62"/>
      <c r="G15" s="63"/>
      <c r="H15" s="62"/>
      <c r="I15" s="62"/>
      <c r="J15" s="62"/>
      <c r="K15" s="62"/>
      <c r="L15" s="62"/>
      <c r="M15" s="62"/>
      <c r="N15" s="62"/>
    </row>
    <row r="16" spans="1:20">
      <c r="A16" s="70" t="s">
        <v>647</v>
      </c>
      <c r="B16" s="8">
        <v>28.734000000000002</v>
      </c>
      <c r="C16" s="8">
        <v>28.439</v>
      </c>
      <c r="D16" s="8">
        <v>28.245000000000001</v>
      </c>
      <c r="E16" s="62"/>
      <c r="F16" s="8">
        <v>18.385000000000002</v>
      </c>
      <c r="G16" s="8">
        <v>18.128</v>
      </c>
      <c r="H16" s="8">
        <v>18.622</v>
      </c>
      <c r="I16" s="62"/>
      <c r="J16" s="62">
        <f>B16-F16</f>
        <v>10.349</v>
      </c>
      <c r="K16" s="62">
        <f>C16-G16</f>
        <v>10.311</v>
      </c>
      <c r="L16" s="62">
        <f>D16-H16</f>
        <v>9.6230000000000011</v>
      </c>
      <c r="M16" s="62"/>
      <c r="N16" s="62">
        <f>AVERAGE(L16,J16)</f>
        <v>9.9860000000000007</v>
      </c>
      <c r="O16" s="8">
        <f>STDEV(J16,L16)</f>
        <v>0.51335952314143285</v>
      </c>
      <c r="Q16" s="8">
        <f>N16-N16</f>
        <v>0</v>
      </c>
      <c r="S16" s="8">
        <f>POWER(2,-Q16)</f>
        <v>1</v>
      </c>
    </row>
    <row r="17" spans="1:19">
      <c r="A17" s="70" t="s">
        <v>648</v>
      </c>
      <c r="B17" s="8">
        <v>26.486000000000001</v>
      </c>
      <c r="C17" s="8">
        <v>26.385000000000002</v>
      </c>
      <c r="D17" s="8">
        <v>26.395</v>
      </c>
      <c r="E17" s="62"/>
      <c r="F17" s="8">
        <v>17.535</v>
      </c>
      <c r="G17" s="8">
        <v>17.628</v>
      </c>
      <c r="H17" s="8">
        <v>17.922999999999998</v>
      </c>
      <c r="I17" s="62"/>
      <c r="J17" s="62">
        <f t="shared" ref="J17:L19" si="8">B17-F17</f>
        <v>8.9510000000000005</v>
      </c>
      <c r="K17" s="62">
        <f t="shared" si="8"/>
        <v>8.7570000000000014</v>
      </c>
      <c r="L17" s="62">
        <f t="shared" si="8"/>
        <v>8.4720000000000013</v>
      </c>
      <c r="M17" s="62"/>
      <c r="N17" s="62">
        <f t="shared" ref="N17:N19" si="9">AVERAGE(J17:L17)</f>
        <v>8.7266666666666683</v>
      </c>
      <c r="O17" s="8">
        <f t="shared" ref="O17:O19" si="10">STDEV(J17:L17)</f>
        <v>0.2409363678097044</v>
      </c>
      <c r="Q17" s="8">
        <f>N17-N16</f>
        <v>-1.2593333333333323</v>
      </c>
      <c r="S17" s="8">
        <f t="shared" ref="S17:S19" si="11">POWER(2,-Q17)</f>
        <v>2.3938509595845137</v>
      </c>
    </row>
    <row r="18" spans="1:19">
      <c r="A18" s="70" t="s">
        <v>649</v>
      </c>
      <c r="B18" s="8">
        <v>25.628</v>
      </c>
      <c r="C18" s="8">
        <v>25.228000000000002</v>
      </c>
      <c r="D18" s="8">
        <v>25.923999999999999</v>
      </c>
      <c r="E18" s="62"/>
      <c r="F18" s="8">
        <v>16.853999999999999</v>
      </c>
      <c r="G18" s="8">
        <v>16.324999999999999</v>
      </c>
      <c r="H18" s="8">
        <v>16.347999999999999</v>
      </c>
      <c r="I18" s="62"/>
      <c r="J18" s="62">
        <f t="shared" si="8"/>
        <v>8.7740000000000009</v>
      </c>
      <c r="K18" s="62">
        <f t="shared" si="8"/>
        <v>8.9030000000000022</v>
      </c>
      <c r="L18" s="62">
        <f t="shared" si="8"/>
        <v>9.5760000000000005</v>
      </c>
      <c r="M18" s="62"/>
      <c r="N18" s="62">
        <f t="shared" si="9"/>
        <v>9.0843333333333351</v>
      </c>
      <c r="O18" s="8">
        <f t="shared" si="10"/>
        <v>0.43065337956799188</v>
      </c>
      <c r="Q18" s="8">
        <f>N18-N16</f>
        <v>-0.90166666666666551</v>
      </c>
      <c r="S18" s="8">
        <f t="shared" si="11"/>
        <v>1.8682229927295311</v>
      </c>
    </row>
    <row r="19" spans="1:19">
      <c r="A19" s="70" t="s">
        <v>650</v>
      </c>
      <c r="B19" s="8">
        <v>25.773</v>
      </c>
      <c r="C19" s="8">
        <v>25.395</v>
      </c>
      <c r="D19" s="8">
        <v>25.193000000000001</v>
      </c>
      <c r="E19" s="62"/>
      <c r="F19" s="8">
        <v>18.236000000000001</v>
      </c>
      <c r="G19" s="8">
        <v>18.251000000000001</v>
      </c>
      <c r="H19" s="8">
        <v>18.628</v>
      </c>
      <c r="I19" s="62"/>
      <c r="J19" s="62">
        <f t="shared" si="8"/>
        <v>7.536999999999999</v>
      </c>
      <c r="K19" s="62">
        <f t="shared" si="8"/>
        <v>7.1439999999999984</v>
      </c>
      <c r="L19" s="62">
        <f t="shared" si="8"/>
        <v>6.5650000000000013</v>
      </c>
      <c r="M19" s="62"/>
      <c r="N19" s="62">
        <f t="shared" si="9"/>
        <v>7.0819999999999999</v>
      </c>
      <c r="O19" s="8">
        <f t="shared" si="10"/>
        <v>0.48895705332881617</v>
      </c>
      <c r="Q19" s="8">
        <f>N19-N16</f>
        <v>-2.9040000000000008</v>
      </c>
      <c r="S19" s="8">
        <f t="shared" si="11"/>
        <v>7.4849879826512051</v>
      </c>
    </row>
    <row r="20" spans="1:19">
      <c r="A20" s="70"/>
      <c r="E20" s="62"/>
      <c r="I20" s="62"/>
      <c r="J20" s="62"/>
      <c r="K20" s="62"/>
      <c r="L20" s="62"/>
      <c r="M20" s="62"/>
      <c r="N20" s="62"/>
    </row>
    <row r="21" spans="1:19">
      <c r="A21" s="70" t="s">
        <v>544</v>
      </c>
      <c r="B21" s="62"/>
      <c r="C21" s="62"/>
      <c r="D21" s="62"/>
      <c r="E21" s="62"/>
      <c r="F21" s="63"/>
      <c r="G21" s="63"/>
      <c r="H21" s="62"/>
      <c r="I21" s="62"/>
      <c r="J21" s="62"/>
      <c r="K21" s="62"/>
      <c r="L21" s="62"/>
      <c r="M21" s="62"/>
      <c r="N21" s="62"/>
    </row>
    <row r="22" spans="1:19">
      <c r="A22" s="70" t="s">
        <v>647</v>
      </c>
      <c r="B22" s="8">
        <v>24.861999999999998</v>
      </c>
      <c r="C22" s="8">
        <v>24.193000000000001</v>
      </c>
      <c r="D22" s="8">
        <v>24.381</v>
      </c>
      <c r="E22" s="62"/>
      <c r="F22" s="8">
        <v>16.527999999999999</v>
      </c>
      <c r="G22" s="8">
        <v>16.448</v>
      </c>
      <c r="H22" s="8">
        <v>16.728000000000002</v>
      </c>
      <c r="I22" s="62"/>
      <c r="J22" s="62">
        <f>B22-F22</f>
        <v>8.3339999999999996</v>
      </c>
      <c r="K22" s="62">
        <f>C22-G22</f>
        <v>7.745000000000001</v>
      </c>
      <c r="L22" s="62">
        <f>D22-H22</f>
        <v>7.6529999999999987</v>
      </c>
      <c r="M22" s="62"/>
      <c r="N22" s="62">
        <f>AVERAGE(L22,J22)</f>
        <v>7.9934999999999992</v>
      </c>
      <c r="O22" s="8">
        <f>STDEV(J22,L22)</f>
        <v>0.48153971798803952</v>
      </c>
      <c r="Q22" s="8">
        <f>N22-N22</f>
        <v>0</v>
      </c>
      <c r="S22" s="8">
        <f>POWER(2,-Q22)</f>
        <v>1</v>
      </c>
    </row>
    <row r="23" spans="1:19">
      <c r="A23" s="70" t="s">
        <v>648</v>
      </c>
      <c r="B23" s="8">
        <v>26.739000000000001</v>
      </c>
      <c r="C23" s="8">
        <v>26.158999999999999</v>
      </c>
      <c r="D23" s="8">
        <v>26.734000000000002</v>
      </c>
      <c r="E23" s="62"/>
      <c r="F23" s="8">
        <v>19.835000000000001</v>
      </c>
      <c r="G23" s="8">
        <v>19.623999999999999</v>
      </c>
      <c r="H23" s="8">
        <v>19.283000000000001</v>
      </c>
      <c r="I23" s="62"/>
      <c r="J23" s="62">
        <f t="shared" ref="J23:L25" si="12">B23-F23</f>
        <v>6.9039999999999999</v>
      </c>
      <c r="K23" s="62">
        <f t="shared" si="12"/>
        <v>6.5350000000000001</v>
      </c>
      <c r="L23" s="62">
        <f t="shared" si="12"/>
        <v>7.4510000000000005</v>
      </c>
      <c r="M23" s="62"/>
      <c r="N23" s="62">
        <f t="shared" ref="N23:N25" si="13">AVERAGE(J23:L23)</f>
        <v>6.9633333333333338</v>
      </c>
      <c r="O23" s="8">
        <f t="shared" ref="O23:O25" si="14">STDEV(J23:L23)</f>
        <v>0.46087344611436831</v>
      </c>
      <c r="Q23" s="8">
        <f>N23-N22</f>
        <v>-1.0301666666666653</v>
      </c>
      <c r="S23" s="8">
        <f t="shared" ref="S23:S25" si="15">POWER(2,-Q23)</f>
        <v>2.0422601689333364</v>
      </c>
    </row>
    <row r="24" spans="1:19">
      <c r="A24" s="70" t="s">
        <v>649</v>
      </c>
      <c r="B24" s="8">
        <v>27.492999999999999</v>
      </c>
      <c r="C24" s="8">
        <v>27.611999999999998</v>
      </c>
      <c r="D24" s="8">
        <v>27.844999999999999</v>
      </c>
      <c r="E24" s="62"/>
      <c r="F24" s="8">
        <v>18.236999999999998</v>
      </c>
      <c r="G24" s="8">
        <v>18.721</v>
      </c>
      <c r="H24" s="8">
        <v>18.626999999999999</v>
      </c>
      <c r="I24" s="62"/>
      <c r="J24" s="62">
        <f t="shared" si="12"/>
        <v>9.2560000000000002</v>
      </c>
      <c r="K24" s="62">
        <f t="shared" si="12"/>
        <v>8.8909999999999982</v>
      </c>
      <c r="L24" s="62">
        <f t="shared" si="12"/>
        <v>9.218</v>
      </c>
      <c r="M24" s="62"/>
      <c r="N24" s="62">
        <f t="shared" si="13"/>
        <v>9.1216666666666661</v>
      </c>
      <c r="O24" s="8">
        <f t="shared" si="14"/>
        <v>0.20066472867281329</v>
      </c>
      <c r="Q24" s="8">
        <f>N24-N22</f>
        <v>1.128166666666667</v>
      </c>
      <c r="S24" s="8">
        <f t="shared" si="15"/>
        <v>0.45749672891636251</v>
      </c>
    </row>
    <row r="25" spans="1:19">
      <c r="A25" s="70" t="s">
        <v>650</v>
      </c>
      <c r="B25" s="8">
        <v>26.771999999999998</v>
      </c>
      <c r="C25" s="8">
        <v>26.385999999999999</v>
      </c>
      <c r="D25" s="8">
        <v>26.295999999999999</v>
      </c>
      <c r="E25" s="62"/>
      <c r="F25" s="8">
        <v>18.210999999999999</v>
      </c>
      <c r="G25" s="8">
        <v>18.263999999999999</v>
      </c>
      <c r="H25" s="8">
        <v>18.623999999999999</v>
      </c>
      <c r="I25" s="62"/>
      <c r="J25" s="62">
        <f t="shared" si="12"/>
        <v>8.5609999999999999</v>
      </c>
      <c r="K25" s="62">
        <f t="shared" si="12"/>
        <v>8.1219999999999999</v>
      </c>
      <c r="L25" s="62">
        <f t="shared" si="12"/>
        <v>7.6720000000000006</v>
      </c>
      <c r="M25" s="62"/>
      <c r="N25" s="62">
        <f t="shared" si="13"/>
        <v>8.1183333333333341</v>
      </c>
      <c r="O25" s="8">
        <f t="shared" si="14"/>
        <v>0.44451134218750038</v>
      </c>
      <c r="Q25" s="8">
        <f>N25-N22</f>
        <v>0.12483333333333491</v>
      </c>
      <c r="S25" s="8">
        <f t="shared" si="15"/>
        <v>0.91710998578522085</v>
      </c>
    </row>
    <row r="26" spans="1:19">
      <c r="A26" s="70"/>
      <c r="E26" s="62"/>
      <c r="I26" s="62"/>
      <c r="J26" s="62"/>
      <c r="K26" s="62"/>
      <c r="L26" s="62"/>
      <c r="M26" s="62"/>
      <c r="N26" s="62"/>
    </row>
    <row r="27" spans="1:19">
      <c r="A27" s="70" t="s">
        <v>545</v>
      </c>
      <c r="B27" s="62"/>
      <c r="C27" s="62"/>
      <c r="D27" s="62"/>
      <c r="E27" s="62"/>
      <c r="F27" s="63"/>
      <c r="G27" s="63"/>
      <c r="H27" s="62"/>
      <c r="I27" s="62"/>
      <c r="J27" s="62"/>
      <c r="K27" s="62"/>
      <c r="L27" s="62"/>
      <c r="M27" s="62"/>
      <c r="N27" s="62"/>
    </row>
    <row r="28" spans="1:19">
      <c r="A28" s="70" t="s">
        <v>642</v>
      </c>
      <c r="B28" s="8">
        <v>23.518999999999998</v>
      </c>
      <c r="C28" s="8">
        <v>23.812000000000001</v>
      </c>
      <c r="D28" s="8">
        <v>23.524000000000001</v>
      </c>
      <c r="E28" s="62"/>
      <c r="F28" s="8">
        <v>17.629000000000001</v>
      </c>
      <c r="G28" s="8">
        <v>17.263000000000002</v>
      </c>
      <c r="H28" s="8">
        <v>17.195</v>
      </c>
      <c r="I28" s="62"/>
      <c r="J28" s="62">
        <f>B28-F28</f>
        <v>5.889999999999997</v>
      </c>
      <c r="K28" s="62">
        <f>C28-G28</f>
        <v>6.5489999999999995</v>
      </c>
      <c r="L28" s="62">
        <f>D28-H28</f>
        <v>6.3290000000000006</v>
      </c>
      <c r="M28" s="62"/>
      <c r="N28" s="62">
        <f>AVERAGE(L28,J28)</f>
        <v>6.1094999999999988</v>
      </c>
      <c r="O28" s="8">
        <f>STDEV(J28,L28)</f>
        <v>0.3104198769408969</v>
      </c>
      <c r="Q28" s="8">
        <f>N28-N28</f>
        <v>0</v>
      </c>
      <c r="S28" s="8">
        <f>POWER(2,-Q28)</f>
        <v>1</v>
      </c>
    </row>
    <row r="29" spans="1:19">
      <c r="A29" s="70" t="s">
        <v>643</v>
      </c>
      <c r="B29" s="8">
        <v>25.619</v>
      </c>
      <c r="C29" s="8">
        <v>26.329000000000001</v>
      </c>
      <c r="D29" s="8">
        <v>25.712</v>
      </c>
      <c r="E29" s="62"/>
      <c r="F29" s="8">
        <v>17.628</v>
      </c>
      <c r="G29" s="8">
        <v>17.922000000000001</v>
      </c>
      <c r="H29" s="8">
        <v>17.623000000000001</v>
      </c>
      <c r="I29" s="62"/>
      <c r="J29" s="62">
        <f t="shared" ref="J29:L31" si="16">B29-F29</f>
        <v>7.9909999999999997</v>
      </c>
      <c r="K29" s="62">
        <f t="shared" si="16"/>
        <v>8.407</v>
      </c>
      <c r="L29" s="62">
        <f t="shared" si="16"/>
        <v>8.0889999999999986</v>
      </c>
      <c r="M29" s="62"/>
      <c r="N29" s="62">
        <f t="shared" ref="N29:N31" si="17">AVERAGE(J29:L29)</f>
        <v>8.1623333333333328</v>
      </c>
      <c r="O29" s="8">
        <f t="shared" ref="O29:O31" si="18">STDEV(J29:L29)</f>
        <v>0.21747950094970675</v>
      </c>
      <c r="Q29" s="8">
        <f>N29-N28</f>
        <v>2.052833333333334</v>
      </c>
      <c r="S29" s="8">
        <f t="shared" ref="S29:S31" si="19">POWER(2,-Q29)</f>
        <v>0.24101029292780904</v>
      </c>
    </row>
    <row r="30" spans="1:19">
      <c r="A30" s="70" t="s">
        <v>644</v>
      </c>
      <c r="B30" s="8">
        <v>28.917999999999999</v>
      </c>
      <c r="C30" s="8">
        <v>28.722999999999999</v>
      </c>
      <c r="D30" s="8">
        <v>28.713999999999999</v>
      </c>
      <c r="E30" s="62"/>
      <c r="F30" s="8">
        <v>18.428000000000001</v>
      </c>
      <c r="G30" s="8">
        <v>18.710999999999999</v>
      </c>
      <c r="H30" s="8">
        <v>18.358000000000001</v>
      </c>
      <c r="I30" s="62"/>
      <c r="J30" s="62">
        <f t="shared" si="16"/>
        <v>10.489999999999998</v>
      </c>
      <c r="K30" s="62">
        <f t="shared" si="16"/>
        <v>10.012</v>
      </c>
      <c r="L30" s="62">
        <f t="shared" si="16"/>
        <v>10.355999999999998</v>
      </c>
      <c r="M30" s="62"/>
      <c r="N30" s="62">
        <f t="shared" si="17"/>
        <v>10.286</v>
      </c>
      <c r="O30" s="8">
        <f t="shared" si="18"/>
        <v>0.24656844891429119</v>
      </c>
      <c r="Q30" s="8">
        <f>N30-N28</f>
        <v>4.1765000000000008</v>
      </c>
      <c r="S30" s="8">
        <f t="shared" si="19"/>
        <v>5.5302940425913313E-2</v>
      </c>
    </row>
    <row r="31" spans="1:19">
      <c r="A31" s="70" t="s">
        <v>650</v>
      </c>
      <c r="B31" s="8">
        <v>25.632000000000001</v>
      </c>
      <c r="C31" s="8">
        <v>25.126000000000001</v>
      </c>
      <c r="D31" s="8">
        <v>25.346</v>
      </c>
      <c r="E31" s="62"/>
      <c r="F31" s="8">
        <v>18.734000000000002</v>
      </c>
      <c r="G31" s="8">
        <v>18.143999999999998</v>
      </c>
      <c r="H31" s="8">
        <v>18.853000000000002</v>
      </c>
      <c r="I31" s="62"/>
      <c r="J31" s="62">
        <f t="shared" si="16"/>
        <v>6.8979999999999997</v>
      </c>
      <c r="K31" s="62">
        <f t="shared" si="16"/>
        <v>6.9820000000000029</v>
      </c>
      <c r="L31" s="62">
        <f t="shared" si="16"/>
        <v>6.4929999999999986</v>
      </c>
      <c r="M31" s="62"/>
      <c r="N31" s="62">
        <f t="shared" si="17"/>
        <v>6.7910000000000004</v>
      </c>
      <c r="O31" s="8">
        <f t="shared" si="18"/>
        <v>0.26147083967433338</v>
      </c>
      <c r="Q31" s="8">
        <f>N31-N28</f>
        <v>0.68150000000000155</v>
      </c>
      <c r="S31" s="8">
        <f t="shared" si="19"/>
        <v>0.62351665410097779</v>
      </c>
    </row>
    <row r="32" spans="1:19">
      <c r="A32" s="21"/>
      <c r="D32" s="64"/>
      <c r="G32" s="64"/>
    </row>
    <row r="33" spans="4:7">
      <c r="D33" s="64"/>
      <c r="G33" s="64"/>
    </row>
    <row r="34" spans="4:7">
      <c r="D34" s="64"/>
      <c r="G34" s="64"/>
    </row>
    <row r="35" spans="4:7">
      <c r="D35" s="64"/>
      <c r="F35" s="64"/>
      <c r="G35" s="64"/>
    </row>
    <row r="36" spans="4:7">
      <c r="D36" s="64"/>
      <c r="F36" s="64"/>
      <c r="G36" s="64"/>
    </row>
    <row r="37" spans="4:7">
      <c r="D37" s="64"/>
      <c r="F37" s="64"/>
      <c r="G37" s="64"/>
    </row>
    <row r="38" spans="4:7">
      <c r="D38" s="64"/>
      <c r="F38" s="64"/>
    </row>
    <row r="39" spans="4:7">
      <c r="D39" s="64"/>
      <c r="F39" s="64"/>
    </row>
    <row r="40" spans="4:7">
      <c r="D40" s="64"/>
      <c r="F40" s="64"/>
    </row>
    <row r="41" spans="4:7">
      <c r="D41" s="64"/>
      <c r="F41" s="64"/>
    </row>
    <row r="42" spans="4:7">
      <c r="F42" s="64"/>
    </row>
    <row r="43" spans="4:7">
      <c r="F43" s="64"/>
    </row>
    <row r="44" spans="4:7">
      <c r="F44" s="64"/>
    </row>
    <row r="45" spans="4:7">
      <c r="F45" s="64"/>
    </row>
    <row r="46" spans="4:7">
      <c r="F46" s="64"/>
    </row>
    <row r="47" spans="4:7">
      <c r="F47" s="64"/>
    </row>
    <row r="48" spans="4:7">
      <c r="F48" s="64"/>
    </row>
    <row r="49" spans="6:6">
      <c r="F49" s="64"/>
    </row>
  </sheetData>
  <mergeCells count="2">
    <mergeCell ref="B2:D2"/>
    <mergeCell ref="F2:H2"/>
  </mergeCells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9"/>
  <sheetViews>
    <sheetView workbookViewId="0">
      <selection activeCell="D11" sqref="A1:D11"/>
    </sheetView>
  </sheetViews>
  <sheetFormatPr defaultRowHeight="15"/>
  <cols>
    <col min="1" max="1" width="28.140625" style="8" customWidth="1"/>
    <col min="2" max="2" width="12.5703125" style="8" customWidth="1"/>
    <col min="3" max="3" width="9.140625" style="8"/>
    <col min="4" max="4" width="11.42578125" style="8" customWidth="1"/>
    <col min="5" max="10" width="9.140625" style="8"/>
    <col min="11" max="11" width="12.7109375" style="8" bestFit="1" customWidth="1"/>
    <col min="12" max="16384" width="9.140625" style="8"/>
  </cols>
  <sheetData>
    <row r="1" spans="1:19">
      <c r="A1" s="21" t="s">
        <v>657</v>
      </c>
      <c r="B1" s="21" t="s">
        <v>653</v>
      </c>
    </row>
    <row r="2" spans="1:19">
      <c r="B2" s="175" t="s">
        <v>251</v>
      </c>
      <c r="C2" s="175"/>
      <c r="D2" s="175"/>
      <c r="E2" s="21"/>
      <c r="F2" s="175" t="s">
        <v>633</v>
      </c>
      <c r="G2" s="175"/>
      <c r="H2" s="175"/>
      <c r="I2" s="21"/>
      <c r="J2" s="100" t="s">
        <v>191</v>
      </c>
      <c r="K2" s="21"/>
      <c r="L2" s="21"/>
      <c r="M2" s="21"/>
      <c r="N2" s="21" t="s">
        <v>634</v>
      </c>
      <c r="O2" s="21" t="s">
        <v>635</v>
      </c>
      <c r="P2" s="21"/>
      <c r="Q2" s="21" t="s">
        <v>636</v>
      </c>
      <c r="R2" s="21"/>
      <c r="S2" s="21" t="s">
        <v>637</v>
      </c>
    </row>
    <row r="3" spans="1:19">
      <c r="A3" s="21" t="s">
        <v>541</v>
      </c>
      <c r="B3" s="21" t="s">
        <v>638</v>
      </c>
      <c r="C3" s="21" t="s">
        <v>639</v>
      </c>
      <c r="D3" s="21" t="s">
        <v>640</v>
      </c>
      <c r="E3" s="21"/>
      <c r="F3" s="21" t="s">
        <v>641</v>
      </c>
      <c r="G3" s="21" t="s">
        <v>639</v>
      </c>
      <c r="H3" s="21" t="s">
        <v>640</v>
      </c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spans="1:19">
      <c r="A4" s="21" t="s">
        <v>642</v>
      </c>
      <c r="B4" s="8">
        <v>28.484999999999999</v>
      </c>
      <c r="C4" s="8">
        <v>28.190999999999999</v>
      </c>
      <c r="D4" s="8">
        <v>28.584</v>
      </c>
      <c r="E4" s="62"/>
      <c r="F4" s="8">
        <v>16.295000000000002</v>
      </c>
      <c r="G4" s="8">
        <v>16.295000000000002</v>
      </c>
      <c r="H4" s="8">
        <v>16.423999999999999</v>
      </c>
      <c r="J4" s="8">
        <f>B4-F4</f>
        <v>12.189999999999998</v>
      </c>
      <c r="K4" s="8">
        <f>C4-G4</f>
        <v>11.895999999999997</v>
      </c>
      <c r="L4" s="8">
        <f>D4-H4</f>
        <v>12.16</v>
      </c>
      <c r="N4" s="8">
        <f>AVERAGE(L4,J4)</f>
        <v>12.174999999999999</v>
      </c>
      <c r="O4" s="8">
        <f>STDEV(J4,L4)</f>
        <v>2.1213203435594716E-2</v>
      </c>
      <c r="Q4" s="8">
        <f>N4-N4</f>
        <v>0</v>
      </c>
      <c r="S4" s="8">
        <f>POWER(2,-Q4)</f>
        <v>1</v>
      </c>
    </row>
    <row r="5" spans="1:19">
      <c r="A5" s="21" t="s">
        <v>643</v>
      </c>
      <c r="B5" s="8">
        <v>27.693999999999999</v>
      </c>
      <c r="C5" s="8">
        <v>27.440999999999999</v>
      </c>
      <c r="D5" s="8">
        <v>27.815000000000001</v>
      </c>
      <c r="E5" s="62"/>
      <c r="F5" s="8">
        <v>16.923999999999999</v>
      </c>
      <c r="G5" s="8">
        <v>16.882000000000001</v>
      </c>
      <c r="H5" s="8">
        <v>16.283999999999999</v>
      </c>
      <c r="J5" s="8">
        <f t="shared" ref="J5:L7" si="0">B5-F5</f>
        <v>10.77</v>
      </c>
      <c r="K5" s="8">
        <f t="shared" si="0"/>
        <v>10.558999999999997</v>
      </c>
      <c r="L5" s="8">
        <f t="shared" si="0"/>
        <v>11.531000000000002</v>
      </c>
      <c r="N5" s="8">
        <f t="shared" ref="N5:N7" si="1">AVERAGE(J5:L5)</f>
        <v>10.953333333333333</v>
      </c>
      <c r="O5" s="8">
        <f t="shared" ref="O5:O7" si="2">STDEV(J5:L5)</f>
        <v>0.51127715901782256</v>
      </c>
      <c r="Q5" s="8">
        <f>N5-N4</f>
        <v>-1.2216666666666658</v>
      </c>
      <c r="S5" s="8">
        <f t="shared" ref="S5:S7" si="3">POWER(2,-Q5)</f>
        <v>2.3321598339846679</v>
      </c>
    </row>
    <row r="6" spans="1:19">
      <c r="A6" s="21" t="s">
        <v>644</v>
      </c>
      <c r="B6" s="8">
        <v>27.495999999999999</v>
      </c>
      <c r="C6" s="8">
        <v>27.428000000000001</v>
      </c>
      <c r="D6" s="8">
        <v>27.411000000000001</v>
      </c>
      <c r="E6" s="62"/>
      <c r="F6" s="8">
        <v>16.321999999999999</v>
      </c>
      <c r="G6" s="8">
        <v>16.282</v>
      </c>
      <c r="H6" s="8">
        <v>16.521000000000001</v>
      </c>
      <c r="J6" s="8">
        <f t="shared" si="0"/>
        <v>11.173999999999999</v>
      </c>
      <c r="K6" s="8">
        <f t="shared" si="0"/>
        <v>11.146000000000001</v>
      </c>
      <c r="L6" s="8">
        <f t="shared" si="0"/>
        <v>10.89</v>
      </c>
      <c r="N6" s="8">
        <f t="shared" si="1"/>
        <v>11.07</v>
      </c>
      <c r="O6" s="8">
        <f t="shared" si="2"/>
        <v>0.1565119803721105</v>
      </c>
      <c r="Q6" s="8">
        <f>N6-N4</f>
        <v>-1.1049999999999986</v>
      </c>
      <c r="S6" s="8">
        <f t="shared" si="3"/>
        <v>2.1509887809147541</v>
      </c>
    </row>
    <row r="7" spans="1:19">
      <c r="A7" s="21" t="s">
        <v>645</v>
      </c>
      <c r="B7" s="8">
        <v>26.413</v>
      </c>
      <c r="C7" s="8">
        <v>26.154</v>
      </c>
      <c r="D7" s="8">
        <v>26.722999999999999</v>
      </c>
      <c r="E7" s="62"/>
      <c r="F7" s="8">
        <v>17.934999999999999</v>
      </c>
      <c r="G7" s="8">
        <v>17.381</v>
      </c>
      <c r="H7" s="8">
        <v>17.234999999999999</v>
      </c>
      <c r="J7" s="8">
        <f t="shared" si="0"/>
        <v>8.4780000000000015</v>
      </c>
      <c r="K7" s="8">
        <f t="shared" si="0"/>
        <v>8.7729999999999997</v>
      </c>
      <c r="L7" s="8">
        <f t="shared" si="0"/>
        <v>9.4879999999999995</v>
      </c>
      <c r="N7" s="8">
        <f t="shared" si="1"/>
        <v>8.9130000000000003</v>
      </c>
      <c r="O7" s="8">
        <f t="shared" si="2"/>
        <v>0.51935055598314239</v>
      </c>
      <c r="Q7" s="8">
        <f>N7-N4</f>
        <v>-3.2619999999999987</v>
      </c>
      <c r="S7" s="8">
        <f t="shared" si="3"/>
        <v>9.5931193103288912</v>
      </c>
    </row>
    <row r="8" spans="1:19">
      <c r="A8" s="21"/>
    </row>
    <row r="9" spans="1:19">
      <c r="A9" s="21" t="s">
        <v>659</v>
      </c>
    </row>
    <row r="10" spans="1:19">
      <c r="A10" s="70" t="s">
        <v>647</v>
      </c>
      <c r="B10" s="8">
        <v>25.206</v>
      </c>
      <c r="C10" s="8">
        <v>25.449000000000002</v>
      </c>
      <c r="D10" s="8">
        <v>25.295999999999999</v>
      </c>
      <c r="E10" s="62"/>
      <c r="F10" s="8">
        <v>17.413</v>
      </c>
      <c r="G10" s="8">
        <v>17.556000000000001</v>
      </c>
      <c r="H10" s="8">
        <v>17.283999999999999</v>
      </c>
      <c r="I10" s="62"/>
      <c r="J10" s="62">
        <f>B10-F10</f>
        <v>7.7929999999999993</v>
      </c>
      <c r="K10" s="62">
        <f>C10-G10</f>
        <v>7.8930000000000007</v>
      </c>
      <c r="L10" s="62">
        <f>D10-H10</f>
        <v>8.0120000000000005</v>
      </c>
      <c r="M10" s="62"/>
      <c r="N10" s="62">
        <f>AVERAGE(L10,J10)</f>
        <v>7.9024999999999999</v>
      </c>
      <c r="O10" s="8">
        <f>STDEV(J10,L10)</f>
        <v>0.15485638507985475</v>
      </c>
      <c r="Q10" s="8">
        <f>N10-N10</f>
        <v>0</v>
      </c>
      <c r="S10" s="8">
        <f>POWER(2,-Q10)</f>
        <v>1</v>
      </c>
    </row>
    <row r="11" spans="1:19">
      <c r="A11" s="70" t="s">
        <v>648</v>
      </c>
      <c r="B11" s="8">
        <v>22.396000000000001</v>
      </c>
      <c r="C11" s="8">
        <v>22.791</v>
      </c>
      <c r="D11" s="8">
        <v>22.163</v>
      </c>
      <c r="E11" s="62"/>
      <c r="F11" s="8">
        <v>17.835000000000001</v>
      </c>
      <c r="G11" s="8">
        <v>17.611999999999998</v>
      </c>
      <c r="H11" s="8">
        <v>17.143000000000001</v>
      </c>
      <c r="I11" s="62"/>
      <c r="J11" s="62">
        <f t="shared" ref="J11:L13" si="4">B11-F11</f>
        <v>4.5609999999999999</v>
      </c>
      <c r="K11" s="62">
        <f t="shared" si="4"/>
        <v>5.179000000000002</v>
      </c>
      <c r="L11" s="62">
        <f t="shared" si="4"/>
        <v>5.0199999999999996</v>
      </c>
      <c r="M11" s="62"/>
      <c r="N11" s="62">
        <f t="shared" ref="N11:N13" si="5">AVERAGE(J11:L11)</f>
        <v>4.9200000000000008</v>
      </c>
      <c r="O11" s="8">
        <f t="shared" ref="O11:O13" si="6">STDEV(J11:L11)</f>
        <v>0.32090652844714845</v>
      </c>
      <c r="Q11" s="8">
        <f>N11-N10</f>
        <v>-2.982499999999999</v>
      </c>
      <c r="S11" s="8">
        <f t="shared" ref="S11:S13" si="7">POWER(2,-Q11)</f>
        <v>7.9035455771241221</v>
      </c>
    </row>
    <row r="12" spans="1:19">
      <c r="A12" s="70" t="s">
        <v>649</v>
      </c>
      <c r="B12" s="8">
        <v>26.734999999999999</v>
      </c>
      <c r="C12" s="8">
        <v>26.43</v>
      </c>
      <c r="D12" s="8">
        <v>26.295000000000002</v>
      </c>
      <c r="E12" s="62"/>
      <c r="F12" s="8">
        <v>16.283000000000001</v>
      </c>
      <c r="G12" s="8">
        <v>16.183</v>
      </c>
      <c r="H12" s="8">
        <v>16.225000000000001</v>
      </c>
      <c r="I12" s="62"/>
      <c r="J12" s="62">
        <f t="shared" si="4"/>
        <v>10.451999999999998</v>
      </c>
      <c r="K12" s="62">
        <f t="shared" si="4"/>
        <v>10.247</v>
      </c>
      <c r="L12" s="62">
        <f t="shared" si="4"/>
        <v>10.07</v>
      </c>
      <c r="M12" s="62"/>
      <c r="N12" s="62">
        <f t="shared" si="5"/>
        <v>10.256333333333332</v>
      </c>
      <c r="O12" s="8">
        <f t="shared" si="6"/>
        <v>0.19117095316321706</v>
      </c>
      <c r="Q12" s="8">
        <f>N12-N10</f>
        <v>2.3538333333333323</v>
      </c>
      <c r="S12" s="8">
        <f t="shared" si="7"/>
        <v>0.19562554367778473</v>
      </c>
    </row>
    <row r="13" spans="1:19">
      <c r="A13" s="70" t="s">
        <v>650</v>
      </c>
      <c r="B13" s="8">
        <v>25.693000000000001</v>
      </c>
      <c r="C13" s="8">
        <v>25.396000000000001</v>
      </c>
      <c r="D13" s="8">
        <v>25.759</v>
      </c>
      <c r="E13" s="62"/>
      <c r="F13" s="8">
        <v>17.835000000000001</v>
      </c>
      <c r="G13" s="8">
        <v>17.617999999999999</v>
      </c>
      <c r="H13" s="8">
        <v>17.353999999999999</v>
      </c>
      <c r="I13" s="62"/>
      <c r="J13" s="62">
        <f t="shared" si="4"/>
        <v>7.8580000000000005</v>
      </c>
      <c r="K13" s="62">
        <f t="shared" si="4"/>
        <v>7.7780000000000022</v>
      </c>
      <c r="L13" s="62">
        <f t="shared" si="4"/>
        <v>8.4050000000000011</v>
      </c>
      <c r="M13" s="62"/>
      <c r="N13" s="62">
        <f t="shared" si="5"/>
        <v>8.0136666666666674</v>
      </c>
      <c r="O13" s="8">
        <f t="shared" si="6"/>
        <v>0.34125699016039679</v>
      </c>
      <c r="Q13" s="8">
        <f>N13-N10</f>
        <v>0.11116666666666752</v>
      </c>
      <c r="S13" s="8">
        <f t="shared" si="7"/>
        <v>0.9258390592267407</v>
      </c>
    </row>
    <row r="14" spans="1:19">
      <c r="A14" s="70"/>
      <c r="E14" s="62"/>
      <c r="I14" s="62"/>
      <c r="J14" s="62"/>
      <c r="K14" s="62"/>
      <c r="L14" s="62"/>
      <c r="M14" s="62"/>
      <c r="N14" s="62"/>
    </row>
    <row r="15" spans="1:19">
      <c r="A15" s="70" t="s">
        <v>543</v>
      </c>
      <c r="B15" s="62"/>
      <c r="C15" s="62"/>
      <c r="D15" s="62"/>
      <c r="E15" s="62"/>
      <c r="F15" s="62"/>
      <c r="G15" s="63"/>
      <c r="H15" s="62"/>
      <c r="I15" s="62"/>
      <c r="J15" s="62"/>
      <c r="K15" s="62"/>
      <c r="L15" s="62"/>
      <c r="M15" s="62"/>
      <c r="N15" s="62"/>
    </row>
    <row r="16" spans="1:19">
      <c r="A16" s="70" t="s">
        <v>647</v>
      </c>
      <c r="B16" s="8">
        <v>27.849299999999999</v>
      </c>
      <c r="C16" s="8">
        <v>27.623000000000001</v>
      </c>
      <c r="D16" s="8">
        <v>27.195</v>
      </c>
      <c r="E16" s="62"/>
      <c r="F16" s="8">
        <v>18.385000000000002</v>
      </c>
      <c r="G16" s="8">
        <v>18.128</v>
      </c>
      <c r="H16" s="8">
        <v>18.622</v>
      </c>
      <c r="I16" s="62"/>
      <c r="J16" s="62">
        <f>B16-F16</f>
        <v>9.4642999999999979</v>
      </c>
      <c r="K16" s="62">
        <f>C16-G16</f>
        <v>9.495000000000001</v>
      </c>
      <c r="L16" s="62">
        <f>D16-H16</f>
        <v>8.5730000000000004</v>
      </c>
      <c r="M16" s="62"/>
      <c r="N16" s="62">
        <f>AVERAGE(L16,J16)</f>
        <v>9.0186499999999992</v>
      </c>
      <c r="O16" s="8">
        <f>STDEV(J16,L16)</f>
        <v>0.63024427407156802</v>
      </c>
      <c r="Q16" s="8">
        <f>N16-N16</f>
        <v>0</v>
      </c>
      <c r="S16" s="8">
        <f>POWER(2,-Q16)</f>
        <v>1</v>
      </c>
    </row>
    <row r="17" spans="1:19">
      <c r="A17" s="70" t="s">
        <v>648</v>
      </c>
      <c r="B17" s="8">
        <v>29.863</v>
      </c>
      <c r="C17" s="8">
        <v>29.195</v>
      </c>
      <c r="D17" s="8">
        <v>29.863</v>
      </c>
      <c r="E17" s="62"/>
      <c r="F17" s="8">
        <v>17.535</v>
      </c>
      <c r="G17" s="8">
        <v>17.628</v>
      </c>
      <c r="H17" s="8">
        <v>17.922999999999998</v>
      </c>
      <c r="I17" s="62"/>
      <c r="J17" s="62">
        <f t="shared" ref="J17:L19" si="8">B17-F17</f>
        <v>12.327999999999999</v>
      </c>
      <c r="K17" s="62">
        <f t="shared" si="8"/>
        <v>11.567</v>
      </c>
      <c r="L17" s="62">
        <f t="shared" si="8"/>
        <v>11.940000000000001</v>
      </c>
      <c r="M17" s="62"/>
      <c r="N17" s="62">
        <f t="shared" ref="N17:N19" si="9">AVERAGE(J17:L17)</f>
        <v>11.945</v>
      </c>
      <c r="O17" s="8">
        <f t="shared" ref="O17:O19" si="10">STDEV(J17:L17)</f>
        <v>0.38052463783571189</v>
      </c>
      <c r="Q17" s="8">
        <f>N17-N16</f>
        <v>2.9263500000000011</v>
      </c>
      <c r="S17" s="8">
        <f t="shared" ref="S17:S19" si="11">POWER(2,-Q17)</f>
        <v>0.13154697697156584</v>
      </c>
    </row>
    <row r="18" spans="1:19">
      <c r="A18" s="70" t="s">
        <v>649</v>
      </c>
      <c r="B18" s="8">
        <v>27.628</v>
      </c>
      <c r="C18" s="8">
        <v>27.364000000000001</v>
      </c>
      <c r="D18" s="8">
        <v>27.629000000000001</v>
      </c>
      <c r="E18" s="62"/>
      <c r="F18" s="8">
        <v>16.853999999999999</v>
      </c>
      <c r="G18" s="8">
        <v>16.324999999999999</v>
      </c>
      <c r="H18" s="8">
        <v>16.347999999999999</v>
      </c>
      <c r="I18" s="62"/>
      <c r="J18" s="62">
        <f t="shared" si="8"/>
        <v>10.774000000000001</v>
      </c>
      <c r="K18" s="62">
        <f t="shared" si="8"/>
        <v>11.039000000000001</v>
      </c>
      <c r="L18" s="62">
        <f t="shared" si="8"/>
        <v>11.281000000000002</v>
      </c>
      <c r="M18" s="62"/>
      <c r="N18" s="62">
        <f t="shared" si="9"/>
        <v>11.031333333333336</v>
      </c>
      <c r="O18" s="8">
        <f t="shared" si="10"/>
        <v>0.25358693446889907</v>
      </c>
      <c r="Q18" s="8">
        <f>N18-N16</f>
        <v>2.0126833333333369</v>
      </c>
      <c r="S18" s="8">
        <f t="shared" si="11"/>
        <v>0.24781177869146515</v>
      </c>
    </row>
    <row r="19" spans="1:19">
      <c r="A19" s="70" t="s">
        <v>650</v>
      </c>
      <c r="B19" s="8">
        <v>25.294</v>
      </c>
      <c r="C19" s="8">
        <v>25.254000000000001</v>
      </c>
      <c r="D19" s="8">
        <v>25.452000000000002</v>
      </c>
      <c r="E19" s="62"/>
      <c r="F19" s="8">
        <v>18.236000000000001</v>
      </c>
      <c r="G19" s="8">
        <v>18.251000000000001</v>
      </c>
      <c r="H19" s="8">
        <v>18.628</v>
      </c>
      <c r="I19" s="62"/>
      <c r="J19" s="62">
        <f t="shared" si="8"/>
        <v>7.0579999999999998</v>
      </c>
      <c r="K19" s="62">
        <f t="shared" si="8"/>
        <v>7.0030000000000001</v>
      </c>
      <c r="L19" s="62">
        <f t="shared" si="8"/>
        <v>6.8240000000000016</v>
      </c>
      <c r="M19" s="62"/>
      <c r="N19" s="62">
        <f t="shared" si="9"/>
        <v>6.9616666666666669</v>
      </c>
      <c r="O19" s="8">
        <f t="shared" si="10"/>
        <v>0.12235331353638568</v>
      </c>
      <c r="Q19" s="8">
        <f>N19-N16</f>
        <v>-2.0569833333333323</v>
      </c>
      <c r="S19" s="8">
        <f t="shared" si="11"/>
        <v>4.1611529942858354</v>
      </c>
    </row>
    <row r="20" spans="1:19">
      <c r="A20" s="70"/>
      <c r="E20" s="62"/>
      <c r="I20" s="62"/>
      <c r="J20" s="62"/>
      <c r="K20" s="62"/>
      <c r="L20" s="62"/>
      <c r="M20" s="62"/>
      <c r="N20" s="62"/>
    </row>
    <row r="21" spans="1:19">
      <c r="A21" s="70" t="s">
        <v>544</v>
      </c>
      <c r="B21" s="62"/>
      <c r="C21" s="62"/>
      <c r="D21" s="62"/>
      <c r="E21" s="62"/>
      <c r="F21" s="63"/>
      <c r="G21" s="63"/>
      <c r="H21" s="62"/>
      <c r="I21" s="62"/>
      <c r="J21" s="62"/>
      <c r="K21" s="62"/>
      <c r="L21" s="62"/>
      <c r="M21" s="62"/>
      <c r="N21" s="62"/>
    </row>
    <row r="22" spans="1:19">
      <c r="A22" s="70" t="s">
        <v>647</v>
      </c>
      <c r="B22" s="8">
        <v>28.943000000000001</v>
      </c>
      <c r="C22" s="8">
        <v>28.629000000000001</v>
      </c>
      <c r="D22" s="8">
        <v>28.289000000000001</v>
      </c>
      <c r="E22" s="62"/>
      <c r="F22" s="8">
        <v>16.527999999999999</v>
      </c>
      <c r="G22" s="8">
        <v>16.448</v>
      </c>
      <c r="H22" s="8">
        <v>16.728000000000002</v>
      </c>
      <c r="I22" s="62"/>
      <c r="J22" s="62">
        <f>B22-F22</f>
        <v>12.415000000000003</v>
      </c>
      <c r="K22" s="62">
        <f>C22-G22</f>
        <v>12.181000000000001</v>
      </c>
      <c r="L22" s="62">
        <f>D22-H22</f>
        <v>11.561</v>
      </c>
      <c r="M22" s="62"/>
      <c r="N22" s="62">
        <f>AVERAGE(L22,J22)</f>
        <v>11.988000000000001</v>
      </c>
      <c r="O22" s="8">
        <f>STDEV(J22,L22)</f>
        <v>0.6038691911333135</v>
      </c>
      <c r="Q22" s="8">
        <f>N22-N22</f>
        <v>0</v>
      </c>
      <c r="S22" s="8">
        <f>POWER(2,-Q22)</f>
        <v>1</v>
      </c>
    </row>
    <row r="23" spans="1:19">
      <c r="A23" s="70" t="s">
        <v>648</v>
      </c>
      <c r="B23" s="8">
        <v>26.395</v>
      </c>
      <c r="C23" s="8">
        <v>26.395</v>
      </c>
      <c r="D23" s="8">
        <v>26.821999999999999</v>
      </c>
      <c r="E23" s="62"/>
      <c r="F23" s="8">
        <v>16.835000000000001</v>
      </c>
      <c r="G23" s="8">
        <v>16.623999999999999</v>
      </c>
      <c r="H23" s="8">
        <v>16.283000000000001</v>
      </c>
      <c r="I23" s="62"/>
      <c r="J23" s="62">
        <f t="shared" ref="J23:L25" si="12">B23-F23</f>
        <v>9.5599999999999987</v>
      </c>
      <c r="K23" s="62">
        <f t="shared" si="12"/>
        <v>9.7710000000000008</v>
      </c>
      <c r="L23" s="62">
        <f t="shared" si="12"/>
        <v>10.538999999999998</v>
      </c>
      <c r="M23" s="62"/>
      <c r="N23" s="62">
        <f t="shared" ref="N23:N25" si="13">AVERAGE(J23:L23)</f>
        <v>9.9566666666666652</v>
      </c>
      <c r="O23" s="8">
        <f t="shared" ref="O23:O25" si="14">STDEV(J23:L23)</f>
        <v>0.51523231006346304</v>
      </c>
      <c r="Q23" s="8">
        <f>N23-N22</f>
        <v>-2.0313333333333361</v>
      </c>
      <c r="S23" s="8">
        <f t="shared" ref="S23:S25" si="15">POWER(2,-Q23)</f>
        <v>4.0878247098114873</v>
      </c>
    </row>
    <row r="24" spans="1:19">
      <c r="A24" s="70" t="s">
        <v>649</v>
      </c>
      <c r="B24" s="8">
        <v>27.486000000000001</v>
      </c>
      <c r="C24" s="8">
        <v>27.619</v>
      </c>
      <c r="D24" s="8">
        <v>27.395</v>
      </c>
      <c r="E24" s="62"/>
      <c r="F24" s="8">
        <v>18.236999999999998</v>
      </c>
      <c r="G24" s="8">
        <v>18.721</v>
      </c>
      <c r="H24" s="8">
        <v>18.626999999999999</v>
      </c>
      <c r="I24" s="62"/>
      <c r="J24" s="62">
        <f t="shared" si="12"/>
        <v>9.2490000000000023</v>
      </c>
      <c r="K24" s="62">
        <f t="shared" si="12"/>
        <v>8.8979999999999997</v>
      </c>
      <c r="L24" s="62">
        <f t="shared" si="12"/>
        <v>8.7680000000000007</v>
      </c>
      <c r="M24" s="62"/>
      <c r="N24" s="62">
        <f t="shared" si="13"/>
        <v>8.9716666666666676</v>
      </c>
      <c r="O24" s="8">
        <f t="shared" si="14"/>
        <v>0.24881787181256465</v>
      </c>
      <c r="Q24" s="8">
        <f>N24-N22</f>
        <v>-3.0163333333333338</v>
      </c>
      <c r="S24" s="8">
        <f t="shared" si="15"/>
        <v>8.0910858686469869</v>
      </c>
    </row>
    <row r="25" spans="1:19">
      <c r="A25" s="70" t="s">
        <v>650</v>
      </c>
      <c r="B25" s="8">
        <v>27.643999999999998</v>
      </c>
      <c r="C25" s="8">
        <v>27.385000000000002</v>
      </c>
      <c r="D25" s="8">
        <v>27.638999999999999</v>
      </c>
      <c r="E25" s="62"/>
      <c r="F25" s="8">
        <v>18.210999999999999</v>
      </c>
      <c r="G25" s="8">
        <v>18.263999999999999</v>
      </c>
      <c r="H25" s="8">
        <v>18.623999999999999</v>
      </c>
      <c r="I25" s="62"/>
      <c r="J25" s="62">
        <f t="shared" si="12"/>
        <v>9.4329999999999998</v>
      </c>
      <c r="K25" s="62">
        <f t="shared" si="12"/>
        <v>9.1210000000000022</v>
      </c>
      <c r="L25" s="62">
        <f t="shared" si="12"/>
        <v>9.0150000000000006</v>
      </c>
      <c r="M25" s="62"/>
      <c r="N25" s="62">
        <f t="shared" si="13"/>
        <v>9.1896666666666675</v>
      </c>
      <c r="O25" s="8">
        <f t="shared" si="14"/>
        <v>0.21729549772909018</v>
      </c>
      <c r="Q25" s="8">
        <f>N25-N22</f>
        <v>-2.7983333333333338</v>
      </c>
      <c r="S25" s="8">
        <f t="shared" si="15"/>
        <v>6.9563635563183768</v>
      </c>
    </row>
    <row r="26" spans="1:19">
      <c r="A26" s="70"/>
      <c r="E26" s="62"/>
      <c r="I26" s="62"/>
      <c r="J26" s="62"/>
      <c r="K26" s="62"/>
      <c r="L26" s="62"/>
      <c r="M26" s="62"/>
      <c r="N26" s="62"/>
    </row>
    <row r="27" spans="1:19">
      <c r="A27" s="70" t="s">
        <v>545</v>
      </c>
      <c r="B27" s="62"/>
      <c r="C27" s="62"/>
      <c r="D27" s="62"/>
      <c r="E27" s="62"/>
      <c r="F27" s="63"/>
      <c r="G27" s="63"/>
      <c r="H27" s="62"/>
      <c r="I27" s="62"/>
      <c r="J27" s="62"/>
      <c r="K27" s="62"/>
      <c r="L27" s="62"/>
      <c r="M27" s="62"/>
      <c r="N27" s="62"/>
    </row>
    <row r="28" spans="1:19">
      <c r="A28" s="70" t="s">
        <v>642</v>
      </c>
      <c r="B28" s="8">
        <v>26.285</v>
      </c>
      <c r="C28" s="8">
        <v>26.722999999999999</v>
      </c>
      <c r="D28" s="8">
        <v>26.834</v>
      </c>
      <c r="E28" s="62"/>
      <c r="F28" s="8">
        <v>17.629000000000001</v>
      </c>
      <c r="G28" s="8">
        <v>17.263000000000002</v>
      </c>
      <c r="H28" s="8">
        <v>17.195</v>
      </c>
      <c r="I28" s="62"/>
      <c r="J28" s="62">
        <f>B28-F28</f>
        <v>8.6559999999999988</v>
      </c>
      <c r="K28" s="62">
        <f>C28-G28</f>
        <v>9.4599999999999973</v>
      </c>
      <c r="L28" s="62">
        <f>D28-H28</f>
        <v>9.6389999999999993</v>
      </c>
      <c r="M28" s="62"/>
      <c r="N28" s="62">
        <f>AVERAGE(L28,J28)</f>
        <v>9.1474999999999991</v>
      </c>
      <c r="O28" s="8">
        <f>STDEV(J28,L28)</f>
        <v>0.69508596590637661</v>
      </c>
      <c r="Q28" s="8">
        <f>N28-N28</f>
        <v>0</v>
      </c>
      <c r="S28" s="8">
        <f>POWER(2,-Q28)</f>
        <v>1</v>
      </c>
    </row>
    <row r="29" spans="1:19">
      <c r="A29" s="70" t="s">
        <v>643</v>
      </c>
      <c r="B29" s="8">
        <v>24.311</v>
      </c>
      <c r="C29" s="8">
        <v>24.385999999999999</v>
      </c>
      <c r="D29" s="8">
        <v>24.385999999999999</v>
      </c>
      <c r="E29" s="62"/>
      <c r="F29" s="8">
        <v>17.628</v>
      </c>
      <c r="G29" s="8">
        <v>17.922000000000001</v>
      </c>
      <c r="H29" s="8">
        <v>17.623000000000001</v>
      </c>
      <c r="I29" s="62"/>
      <c r="J29" s="62">
        <f t="shared" ref="J29:L31" si="16">B29-F29</f>
        <v>6.6829999999999998</v>
      </c>
      <c r="K29" s="62">
        <f t="shared" si="16"/>
        <v>6.4639999999999986</v>
      </c>
      <c r="L29" s="62">
        <f t="shared" si="16"/>
        <v>6.7629999999999981</v>
      </c>
      <c r="M29" s="62"/>
      <c r="N29" s="62">
        <f t="shared" ref="N29:N31" si="17">AVERAGE(J29:L29)</f>
        <v>6.6366666666666658</v>
      </c>
      <c r="O29" s="8">
        <f t="shared" ref="O29:O31" si="18">STDEV(J29:L29)</f>
        <v>0.15479125728972332</v>
      </c>
      <c r="Q29" s="8">
        <f>N29-N28</f>
        <v>-2.5108333333333333</v>
      </c>
      <c r="S29" s="8">
        <f t="shared" ref="S29:S31" si="19">POWER(2,-Q29)</f>
        <v>5.6994919874275807</v>
      </c>
    </row>
    <row r="30" spans="1:19">
      <c r="A30" s="70" t="s">
        <v>644</v>
      </c>
      <c r="B30" s="8">
        <v>26.395</v>
      </c>
      <c r="C30" s="8">
        <v>26.518999999999998</v>
      </c>
      <c r="D30" s="8">
        <v>26.285</v>
      </c>
      <c r="E30" s="62"/>
      <c r="F30" s="8">
        <v>18.428000000000001</v>
      </c>
      <c r="G30" s="8">
        <v>18.710999999999999</v>
      </c>
      <c r="H30" s="8">
        <v>18.358000000000001</v>
      </c>
      <c r="I30" s="62"/>
      <c r="J30" s="62">
        <f t="shared" si="16"/>
        <v>7.9669999999999987</v>
      </c>
      <c r="K30" s="62">
        <f t="shared" si="16"/>
        <v>7.8079999999999998</v>
      </c>
      <c r="L30" s="62">
        <f t="shared" si="16"/>
        <v>7.9269999999999996</v>
      </c>
      <c r="M30" s="62"/>
      <c r="N30" s="62">
        <f t="shared" si="17"/>
        <v>7.9006666666666661</v>
      </c>
      <c r="O30" s="8">
        <f t="shared" si="18"/>
        <v>8.270630769979552E-2</v>
      </c>
      <c r="Q30" s="8">
        <f>N30-N28</f>
        <v>-1.246833333333333</v>
      </c>
      <c r="S30" s="8">
        <f t="shared" si="19"/>
        <v>2.3731994167287573</v>
      </c>
    </row>
    <row r="31" spans="1:19">
      <c r="A31" s="70" t="s">
        <v>650</v>
      </c>
      <c r="B31" s="8">
        <v>23.844999999999999</v>
      </c>
      <c r="C31" s="8">
        <v>23.48</v>
      </c>
      <c r="D31" s="8">
        <v>23.329000000000001</v>
      </c>
      <c r="E31" s="62"/>
      <c r="F31" s="8">
        <v>17.734000000000002</v>
      </c>
      <c r="G31" s="8">
        <v>17.143999999999998</v>
      </c>
      <c r="H31" s="8">
        <v>17.853000000000002</v>
      </c>
      <c r="I31" s="62"/>
      <c r="J31" s="62">
        <f t="shared" si="16"/>
        <v>6.1109999999999971</v>
      </c>
      <c r="K31" s="62">
        <f t="shared" si="16"/>
        <v>6.3360000000000021</v>
      </c>
      <c r="L31" s="62">
        <f t="shared" si="16"/>
        <v>5.4759999999999991</v>
      </c>
      <c r="M31" s="62"/>
      <c r="N31" s="62">
        <f t="shared" si="17"/>
        <v>5.9743333333333331</v>
      </c>
      <c r="O31" s="8">
        <f t="shared" si="18"/>
        <v>0.44599140499939471</v>
      </c>
      <c r="Q31" s="8">
        <f>N31-N28</f>
        <v>-3.173166666666666</v>
      </c>
      <c r="S31" s="8">
        <f t="shared" si="19"/>
        <v>9.0202452965731759</v>
      </c>
    </row>
    <row r="32" spans="1:19">
      <c r="A32" s="21"/>
      <c r="D32" s="64"/>
      <c r="G32" s="64"/>
    </row>
    <row r="33" spans="4:7">
      <c r="D33" s="64"/>
      <c r="G33" s="64"/>
    </row>
    <row r="34" spans="4:7">
      <c r="D34" s="64"/>
      <c r="G34" s="64"/>
    </row>
    <row r="35" spans="4:7">
      <c r="D35" s="64"/>
      <c r="F35" s="64"/>
      <c r="G35" s="64"/>
    </row>
    <row r="36" spans="4:7">
      <c r="D36" s="64"/>
      <c r="F36" s="64"/>
      <c r="G36" s="64"/>
    </row>
    <row r="37" spans="4:7">
      <c r="D37" s="64"/>
      <c r="F37" s="64"/>
      <c r="G37" s="64"/>
    </row>
    <row r="38" spans="4:7">
      <c r="D38" s="64"/>
      <c r="F38" s="64"/>
    </row>
    <row r="39" spans="4:7">
      <c r="D39" s="64"/>
      <c r="F39" s="64"/>
    </row>
    <row r="40" spans="4:7">
      <c r="D40" s="64"/>
      <c r="F40" s="64"/>
    </row>
    <row r="41" spans="4:7">
      <c r="D41" s="64"/>
      <c r="F41" s="64"/>
    </row>
    <row r="42" spans="4:7">
      <c r="F42" s="64"/>
    </row>
    <row r="43" spans="4:7">
      <c r="F43" s="64"/>
    </row>
    <row r="44" spans="4:7">
      <c r="F44" s="64"/>
    </row>
    <row r="45" spans="4:7">
      <c r="F45" s="64"/>
    </row>
    <row r="46" spans="4:7">
      <c r="F46" s="64"/>
    </row>
    <row r="47" spans="4:7">
      <c r="F47" s="64"/>
    </row>
    <row r="48" spans="4:7">
      <c r="F48" s="64"/>
    </row>
    <row r="49" spans="6:6">
      <c r="F49" s="64"/>
    </row>
  </sheetData>
  <mergeCells count="2">
    <mergeCell ref="B2:D2"/>
    <mergeCell ref="F2:H2"/>
  </mergeCells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9"/>
  <sheetViews>
    <sheetView zoomScale="53" zoomScaleNormal="53" workbookViewId="0">
      <selection activeCell="AD18" sqref="AD18"/>
    </sheetView>
  </sheetViews>
  <sheetFormatPr defaultRowHeight="15"/>
  <cols>
    <col min="1" max="1" width="28.140625" style="8" customWidth="1"/>
    <col min="2" max="2" width="12.5703125" style="8" customWidth="1"/>
    <col min="3" max="3" width="9.140625" style="8"/>
    <col min="4" max="4" width="11.42578125" style="8" customWidth="1"/>
    <col min="5" max="10" width="9.140625" style="8"/>
    <col min="11" max="11" width="12.7109375" style="8" bestFit="1" customWidth="1"/>
    <col min="12" max="16384" width="9.140625" style="8"/>
  </cols>
  <sheetData>
    <row r="1" spans="1:21">
      <c r="A1" s="21" t="s">
        <v>656</v>
      </c>
      <c r="B1" s="21" t="s">
        <v>655</v>
      </c>
    </row>
    <row r="2" spans="1:21">
      <c r="B2" s="175" t="s">
        <v>632</v>
      </c>
      <c r="C2" s="175"/>
      <c r="D2" s="175"/>
      <c r="E2" s="21"/>
      <c r="F2" s="175" t="s">
        <v>633</v>
      </c>
      <c r="G2" s="175"/>
      <c r="H2" s="175"/>
      <c r="I2" s="21"/>
      <c r="J2" s="100" t="s">
        <v>191</v>
      </c>
      <c r="K2" s="21"/>
      <c r="L2" s="21"/>
      <c r="M2" s="21"/>
      <c r="N2" s="21" t="s">
        <v>634</v>
      </c>
      <c r="O2" s="21" t="s">
        <v>635</v>
      </c>
      <c r="P2" s="21"/>
      <c r="Q2" s="21" t="s">
        <v>636</v>
      </c>
      <c r="R2" s="21"/>
      <c r="S2" s="21" t="s">
        <v>637</v>
      </c>
      <c r="T2" s="21"/>
      <c r="U2" s="21"/>
    </row>
    <row r="3" spans="1:21">
      <c r="A3" s="21" t="s">
        <v>541</v>
      </c>
      <c r="B3" s="21" t="s">
        <v>638</v>
      </c>
      <c r="C3" s="21" t="s">
        <v>639</v>
      </c>
      <c r="D3" s="21" t="s">
        <v>640</v>
      </c>
      <c r="E3" s="21"/>
      <c r="F3" s="21" t="s">
        <v>641</v>
      </c>
      <c r="G3" s="21" t="s">
        <v>639</v>
      </c>
      <c r="H3" s="21" t="s">
        <v>640</v>
      </c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</row>
    <row r="4" spans="1:21">
      <c r="A4" s="21" t="s">
        <v>642</v>
      </c>
      <c r="B4" s="8">
        <v>25.693999999999999</v>
      </c>
      <c r="C4" s="8">
        <v>25.1953</v>
      </c>
      <c r="D4" s="8">
        <v>25.853999999999999</v>
      </c>
      <c r="E4" s="62"/>
      <c r="F4" s="8">
        <v>16.295000000000002</v>
      </c>
      <c r="G4" s="8">
        <v>16.295000000000002</v>
      </c>
      <c r="H4" s="8">
        <v>16.423999999999999</v>
      </c>
      <c r="J4" s="8">
        <f>B4-F4</f>
        <v>9.3989999999999974</v>
      </c>
      <c r="K4" s="8">
        <f>C4-G4</f>
        <v>8.9002999999999979</v>
      </c>
      <c r="L4" s="8">
        <f>D4-H4</f>
        <v>9.43</v>
      </c>
      <c r="N4" s="8">
        <f>AVERAGE(L4,J4)</f>
        <v>9.4144999999999985</v>
      </c>
      <c r="O4" s="8">
        <f>STDEV(J4,L4)</f>
        <v>2.1920310216784641E-2</v>
      </c>
      <c r="Q4" s="8">
        <f>N4-N4</f>
        <v>0</v>
      </c>
      <c r="S4" s="8">
        <f>POWER(2,-Q4)</f>
        <v>1</v>
      </c>
    </row>
    <row r="5" spans="1:21">
      <c r="A5" s="21" t="s">
        <v>643</v>
      </c>
      <c r="B5" s="8">
        <v>26.329499999999999</v>
      </c>
      <c r="C5" s="8">
        <v>26.122</v>
      </c>
      <c r="D5" s="8">
        <v>26.923999999999999</v>
      </c>
      <c r="E5" s="62"/>
      <c r="F5" s="8">
        <v>16.923999999999999</v>
      </c>
      <c r="G5" s="8">
        <v>16.882000000000001</v>
      </c>
      <c r="H5" s="8">
        <v>16.283999999999999</v>
      </c>
      <c r="J5" s="8">
        <f t="shared" ref="J5:L7" si="0">B5-F5</f>
        <v>9.4055</v>
      </c>
      <c r="K5" s="8">
        <f t="shared" si="0"/>
        <v>9.2399999999999984</v>
      </c>
      <c r="L5" s="8">
        <f t="shared" si="0"/>
        <v>10.64</v>
      </c>
      <c r="N5" s="8">
        <f t="shared" ref="N5:N7" si="1">AVERAGE(J5:L5)</f>
        <v>9.7618333333333336</v>
      </c>
      <c r="O5" s="8">
        <f t="shared" ref="O5:O7" si="2">STDEV(J5:L5)</f>
        <v>0.76500332243287328</v>
      </c>
      <c r="Q5" s="8">
        <f>N5-N4</f>
        <v>0.34733333333333505</v>
      </c>
      <c r="S5" s="8">
        <f t="shared" ref="S5:S7" si="3">POWER(2,-Q5)</f>
        <v>0.78603565835784472</v>
      </c>
    </row>
    <row r="6" spans="1:21">
      <c r="A6" s="21" t="s">
        <v>644</v>
      </c>
      <c r="B6" s="8">
        <v>27.341999999999999</v>
      </c>
      <c r="C6" s="8">
        <v>27.385000000000002</v>
      </c>
      <c r="D6" s="8">
        <v>27.690999999999999</v>
      </c>
      <c r="E6" s="62"/>
      <c r="F6" s="8">
        <v>16.321999999999999</v>
      </c>
      <c r="G6" s="8">
        <v>16.282</v>
      </c>
      <c r="H6" s="8">
        <v>16.521000000000001</v>
      </c>
      <c r="J6" s="8">
        <f t="shared" si="0"/>
        <v>11.02</v>
      </c>
      <c r="K6" s="8">
        <f t="shared" si="0"/>
        <v>11.103000000000002</v>
      </c>
      <c r="L6" s="8">
        <f t="shared" si="0"/>
        <v>11.169999999999998</v>
      </c>
      <c r="N6" s="8">
        <f t="shared" si="1"/>
        <v>11.097666666666667</v>
      </c>
      <c r="O6" s="8">
        <f t="shared" si="2"/>
        <v>7.5142087629591722E-2</v>
      </c>
      <c r="Q6" s="8">
        <f>N6-N4</f>
        <v>1.6831666666666685</v>
      </c>
      <c r="S6" s="8">
        <f t="shared" si="3"/>
        <v>0.3113983776630882</v>
      </c>
    </row>
    <row r="7" spans="1:21">
      <c r="A7" s="21" t="s">
        <v>645</v>
      </c>
      <c r="B7" s="8">
        <v>26.120999999999999</v>
      </c>
      <c r="C7" s="8">
        <v>26.423300000000001</v>
      </c>
      <c r="D7" s="8">
        <v>26.367000000000001</v>
      </c>
      <c r="E7" s="62"/>
      <c r="F7" s="8">
        <v>17.934999999999999</v>
      </c>
      <c r="G7" s="8">
        <v>17.381</v>
      </c>
      <c r="H7" s="8">
        <v>17.234999999999999</v>
      </c>
      <c r="J7" s="8">
        <f t="shared" si="0"/>
        <v>8.1859999999999999</v>
      </c>
      <c r="K7" s="8">
        <f t="shared" si="0"/>
        <v>9.0423000000000009</v>
      </c>
      <c r="L7" s="8">
        <f t="shared" si="0"/>
        <v>9.1320000000000014</v>
      </c>
      <c r="N7" s="8">
        <f t="shared" si="1"/>
        <v>8.7867666666666668</v>
      </c>
      <c r="O7" s="8">
        <f t="shared" si="2"/>
        <v>0.52220873540504287</v>
      </c>
      <c r="Q7" s="8">
        <f>N7-N4</f>
        <v>-0.6277333333333317</v>
      </c>
      <c r="S7" s="8">
        <f t="shared" si="3"/>
        <v>1.5451354712203575</v>
      </c>
    </row>
    <row r="8" spans="1:21">
      <c r="A8" s="21"/>
    </row>
    <row r="9" spans="1:21">
      <c r="A9" s="21" t="s">
        <v>542</v>
      </c>
    </row>
    <row r="10" spans="1:21">
      <c r="A10" s="70" t="s">
        <v>647</v>
      </c>
      <c r="B10" s="8">
        <v>28.952999999999999</v>
      </c>
      <c r="C10" s="8">
        <v>28.184000000000001</v>
      </c>
      <c r="D10" s="8">
        <v>28.661999999999999</v>
      </c>
      <c r="E10" s="62"/>
      <c r="F10" s="8">
        <v>17.413</v>
      </c>
      <c r="G10" s="8">
        <v>17.556000000000001</v>
      </c>
      <c r="H10" s="8">
        <v>17.283999999999999</v>
      </c>
      <c r="I10" s="62"/>
      <c r="J10" s="62">
        <f>B10-F10</f>
        <v>11.54</v>
      </c>
      <c r="K10" s="62">
        <f>C10-G10</f>
        <v>10.628</v>
      </c>
      <c r="L10" s="62">
        <f>D10-H10</f>
        <v>11.378</v>
      </c>
      <c r="M10" s="62"/>
      <c r="N10" s="62">
        <f>AVERAGE(L10,J10)</f>
        <v>11.459</v>
      </c>
      <c r="O10" s="8">
        <f>STDEV(J10,L10)</f>
        <v>0.11455129855222002</v>
      </c>
      <c r="Q10" s="8">
        <f>N10-N10</f>
        <v>0</v>
      </c>
      <c r="S10" s="8">
        <f>POWER(2,-Q10)</f>
        <v>1</v>
      </c>
    </row>
    <row r="11" spans="1:21">
      <c r="A11" s="70" t="s">
        <v>648</v>
      </c>
      <c r="B11" s="8">
        <v>26.945</v>
      </c>
      <c r="C11" s="8">
        <v>26.213999999999999</v>
      </c>
      <c r="D11" s="8">
        <v>26.594000000000001</v>
      </c>
      <c r="E11" s="62"/>
      <c r="F11" s="8">
        <v>17.835000000000001</v>
      </c>
      <c r="G11" s="8">
        <v>17.611999999999998</v>
      </c>
      <c r="H11" s="8">
        <v>17.143000000000001</v>
      </c>
      <c r="I11" s="62"/>
      <c r="J11" s="62">
        <f t="shared" ref="J11:L13" si="4">B11-F11</f>
        <v>9.11</v>
      </c>
      <c r="K11" s="62">
        <f t="shared" si="4"/>
        <v>8.6020000000000003</v>
      </c>
      <c r="L11" s="62">
        <f t="shared" si="4"/>
        <v>9.4510000000000005</v>
      </c>
      <c r="M11" s="62"/>
      <c r="N11" s="62">
        <f t="shared" ref="N11:N13" si="5">AVERAGE(J11:L11)</f>
        <v>9.054333333333334</v>
      </c>
      <c r="O11" s="8">
        <f t="shared" ref="O11:O13" si="6">STDEV(J11:L11)</f>
        <v>0.42722866632909051</v>
      </c>
      <c r="Q11" s="8">
        <f>N11-N10</f>
        <v>-2.4046666666666656</v>
      </c>
      <c r="S11" s="8">
        <f t="shared" ref="S11:S13" si="7">POWER(2,-Q11)</f>
        <v>5.2951320649467419</v>
      </c>
    </row>
    <row r="12" spans="1:21">
      <c r="A12" s="70" t="s">
        <v>649</v>
      </c>
      <c r="B12" s="8">
        <v>27.834</v>
      </c>
      <c r="C12" s="8">
        <v>27.395</v>
      </c>
      <c r="D12" s="8">
        <v>27.356000000000002</v>
      </c>
      <c r="E12" s="62"/>
      <c r="F12" s="8">
        <v>16.283000000000001</v>
      </c>
      <c r="G12" s="8">
        <v>16.183</v>
      </c>
      <c r="H12" s="8">
        <v>16.225000000000001</v>
      </c>
      <c r="I12" s="62"/>
      <c r="J12" s="62">
        <f t="shared" si="4"/>
        <v>11.550999999999998</v>
      </c>
      <c r="K12" s="62">
        <f t="shared" si="4"/>
        <v>11.212</v>
      </c>
      <c r="L12" s="62">
        <f t="shared" si="4"/>
        <v>11.131</v>
      </c>
      <c r="M12" s="62"/>
      <c r="N12" s="62">
        <f t="shared" si="5"/>
        <v>11.298</v>
      </c>
      <c r="O12" s="8">
        <f t="shared" si="6"/>
        <v>0.22281606764324602</v>
      </c>
      <c r="Q12" s="8">
        <f>N12-N10</f>
        <v>-0.16099999999999959</v>
      </c>
      <c r="S12" s="8">
        <f t="shared" si="7"/>
        <v>1.1180618509658615</v>
      </c>
    </row>
    <row r="13" spans="1:21">
      <c r="A13" s="70" t="s">
        <v>650</v>
      </c>
      <c r="B13" s="8">
        <v>27.622</v>
      </c>
      <c r="C13" s="8">
        <v>27.454000000000001</v>
      </c>
      <c r="D13" s="8">
        <v>27.193999999999999</v>
      </c>
      <c r="E13" s="62"/>
      <c r="F13" s="8">
        <v>17.835000000000001</v>
      </c>
      <c r="G13" s="8">
        <v>17.617999999999999</v>
      </c>
      <c r="H13" s="8">
        <v>17.353999999999999</v>
      </c>
      <c r="I13" s="62"/>
      <c r="J13" s="62">
        <f t="shared" si="4"/>
        <v>9.786999999999999</v>
      </c>
      <c r="K13" s="62">
        <f t="shared" si="4"/>
        <v>9.8360000000000021</v>
      </c>
      <c r="L13" s="62">
        <f t="shared" si="4"/>
        <v>9.84</v>
      </c>
      <c r="M13" s="62"/>
      <c r="N13" s="62">
        <f t="shared" si="5"/>
        <v>9.8209999999999997</v>
      </c>
      <c r="O13" s="8">
        <f t="shared" si="6"/>
        <v>2.9512709126748454E-2</v>
      </c>
      <c r="Q13" s="8">
        <f>N13-N10</f>
        <v>-1.6379999999999999</v>
      </c>
      <c r="S13" s="8">
        <f t="shared" si="7"/>
        <v>3.1123407062216741</v>
      </c>
    </row>
    <row r="14" spans="1:21">
      <c r="A14" s="70"/>
      <c r="E14" s="62"/>
      <c r="I14" s="62"/>
      <c r="J14" s="62"/>
      <c r="K14" s="62"/>
      <c r="L14" s="62"/>
      <c r="M14" s="62"/>
      <c r="N14" s="62"/>
    </row>
    <row r="15" spans="1:21">
      <c r="A15" s="70" t="s">
        <v>543</v>
      </c>
      <c r="B15" s="62"/>
      <c r="C15" s="62"/>
      <c r="D15" s="62"/>
      <c r="E15" s="62"/>
      <c r="F15" s="62"/>
      <c r="G15" s="63"/>
      <c r="H15" s="62"/>
      <c r="I15" s="62"/>
      <c r="J15" s="62"/>
      <c r="K15" s="62"/>
      <c r="L15" s="62"/>
      <c r="M15" s="62"/>
      <c r="N15" s="62"/>
    </row>
    <row r="16" spans="1:21">
      <c r="A16" s="70" t="s">
        <v>647</v>
      </c>
      <c r="B16" s="8">
        <v>25.823</v>
      </c>
      <c r="C16" s="8">
        <v>25.456</v>
      </c>
      <c r="D16" s="8">
        <v>25.152999999999999</v>
      </c>
      <c r="E16" s="62"/>
      <c r="F16" s="8">
        <v>18.385000000000002</v>
      </c>
      <c r="G16" s="8">
        <v>18.128</v>
      </c>
      <c r="H16" s="8">
        <v>18.622</v>
      </c>
      <c r="I16" s="62"/>
      <c r="J16" s="62">
        <f>B16-F16</f>
        <v>7.4379999999999988</v>
      </c>
      <c r="K16" s="62">
        <f>C16-G16</f>
        <v>7.3279999999999994</v>
      </c>
      <c r="L16" s="62">
        <f>D16-H16</f>
        <v>6.5309999999999988</v>
      </c>
      <c r="M16" s="62"/>
      <c r="N16" s="62">
        <f>AVERAGE(L16,J16)</f>
        <v>6.9844999999999988</v>
      </c>
      <c r="O16" s="8">
        <f>STDEV(J16,L16)</f>
        <v>0.64134585053619864</v>
      </c>
      <c r="Q16" s="8">
        <f>N16-N16</f>
        <v>0</v>
      </c>
      <c r="S16" s="8">
        <f>POWER(2,-Q16)</f>
        <v>1</v>
      </c>
    </row>
    <row r="17" spans="1:19">
      <c r="A17" s="70" t="s">
        <v>648</v>
      </c>
      <c r="B17" s="8">
        <v>27.643000000000001</v>
      </c>
      <c r="C17" s="8">
        <v>27.344999999999999</v>
      </c>
      <c r="D17" s="8">
        <v>27.143000000000001</v>
      </c>
      <c r="E17" s="62"/>
      <c r="F17" s="8">
        <v>17.535</v>
      </c>
      <c r="G17" s="8">
        <v>17.628</v>
      </c>
      <c r="H17" s="8">
        <v>17.922999999999998</v>
      </c>
      <c r="I17" s="62"/>
      <c r="J17" s="62">
        <f t="shared" ref="J17:L19" si="8">B17-F17</f>
        <v>10.108000000000001</v>
      </c>
      <c r="K17" s="62">
        <f t="shared" si="8"/>
        <v>9.7169999999999987</v>
      </c>
      <c r="L17" s="62">
        <f t="shared" si="8"/>
        <v>9.2200000000000024</v>
      </c>
      <c r="M17" s="62"/>
      <c r="N17" s="62">
        <f t="shared" ref="N17:N19" si="9">AVERAGE(J17:L17)</f>
        <v>9.6816666666666666</v>
      </c>
      <c r="O17" s="8">
        <f t="shared" ref="O17:O19" si="10">STDEV(J17:L17)</f>
        <v>0.44505318034290287</v>
      </c>
      <c r="Q17" s="8">
        <f>N17-N16</f>
        <v>2.6971666666666678</v>
      </c>
      <c r="S17" s="8">
        <f t="shared" ref="S17:S19" si="11">POWER(2,-Q17)</f>
        <v>0.15419558182507379</v>
      </c>
    </row>
    <row r="18" spans="1:19">
      <c r="A18" s="70" t="s">
        <v>649</v>
      </c>
      <c r="B18" s="8">
        <v>27.533000000000001</v>
      </c>
      <c r="C18" s="8">
        <v>27.43</v>
      </c>
      <c r="D18" s="8">
        <v>27.254000000000001</v>
      </c>
      <c r="E18" s="62"/>
      <c r="F18" s="8">
        <v>16.853999999999999</v>
      </c>
      <c r="G18" s="8">
        <v>16.324999999999999</v>
      </c>
      <c r="H18" s="8">
        <v>16.347999999999999</v>
      </c>
      <c r="I18" s="62"/>
      <c r="J18" s="62">
        <f t="shared" si="8"/>
        <v>10.679000000000002</v>
      </c>
      <c r="K18" s="62">
        <f t="shared" si="8"/>
        <v>11.105</v>
      </c>
      <c r="L18" s="62">
        <f t="shared" si="8"/>
        <v>10.906000000000002</v>
      </c>
      <c r="M18" s="62"/>
      <c r="N18" s="62">
        <f t="shared" si="9"/>
        <v>10.896666666666668</v>
      </c>
      <c r="O18" s="8">
        <f t="shared" si="10"/>
        <v>0.21315330945902058</v>
      </c>
      <c r="Q18" s="8">
        <f>N18-N16</f>
        <v>3.9121666666666695</v>
      </c>
      <c r="S18" s="8">
        <f t="shared" si="11"/>
        <v>6.6423305682976136E-2</v>
      </c>
    </row>
    <row r="19" spans="1:19">
      <c r="A19" s="70" t="s">
        <v>650</v>
      </c>
      <c r="B19" s="8">
        <v>24.27</v>
      </c>
      <c r="C19" s="8">
        <v>24.513000000000002</v>
      </c>
      <c r="D19" s="8">
        <v>24.582000000000001</v>
      </c>
      <c r="E19" s="62"/>
      <c r="F19" s="8">
        <v>18.236000000000001</v>
      </c>
      <c r="G19" s="8">
        <v>18.251000000000001</v>
      </c>
      <c r="H19" s="8">
        <v>18.628</v>
      </c>
      <c r="I19" s="62"/>
      <c r="J19" s="62">
        <f t="shared" si="8"/>
        <v>6.0339999999999989</v>
      </c>
      <c r="K19" s="62">
        <f t="shared" si="8"/>
        <v>6.2620000000000005</v>
      </c>
      <c r="L19" s="62">
        <f t="shared" si="8"/>
        <v>5.9540000000000006</v>
      </c>
      <c r="M19" s="62"/>
      <c r="N19" s="62">
        <f t="shared" si="9"/>
        <v>6.083333333333333</v>
      </c>
      <c r="O19" s="8">
        <f t="shared" si="10"/>
        <v>0.15981656151141968</v>
      </c>
      <c r="Q19" s="8">
        <f>N19-N16</f>
        <v>-0.90116666666666578</v>
      </c>
      <c r="S19" s="8">
        <f t="shared" si="11"/>
        <v>1.8675756281657079</v>
      </c>
    </row>
    <row r="20" spans="1:19">
      <c r="A20" s="70"/>
      <c r="E20" s="62"/>
      <c r="I20" s="62"/>
      <c r="J20" s="62"/>
      <c r="K20" s="62"/>
      <c r="L20" s="62"/>
      <c r="M20" s="62"/>
      <c r="N20" s="62"/>
    </row>
    <row r="21" spans="1:19">
      <c r="A21" s="70" t="s">
        <v>544</v>
      </c>
      <c r="B21" s="62"/>
      <c r="C21" s="62"/>
      <c r="D21" s="62"/>
      <c r="E21" s="62"/>
      <c r="F21" s="63"/>
      <c r="G21" s="63"/>
      <c r="H21" s="62"/>
      <c r="I21" s="62"/>
      <c r="J21" s="62"/>
      <c r="K21" s="62"/>
      <c r="L21" s="62"/>
      <c r="M21" s="62"/>
      <c r="N21" s="62"/>
    </row>
    <row r="22" spans="1:19">
      <c r="A22" s="70" t="s">
        <v>647</v>
      </c>
      <c r="B22" s="8">
        <v>22.844000000000001</v>
      </c>
      <c r="C22" s="8">
        <v>22.128</v>
      </c>
      <c r="D22" s="8">
        <v>22.523</v>
      </c>
      <c r="E22" s="62"/>
      <c r="F22" s="8">
        <v>16.527999999999999</v>
      </c>
      <c r="G22" s="8">
        <v>16.448</v>
      </c>
      <c r="H22" s="8">
        <v>16.728000000000002</v>
      </c>
      <c r="I22" s="62"/>
      <c r="J22" s="62">
        <f>B22-F22</f>
        <v>6.3160000000000025</v>
      </c>
      <c r="K22" s="62">
        <f>C22-G22</f>
        <v>5.68</v>
      </c>
      <c r="L22" s="62">
        <f>D22-H22</f>
        <v>5.7949999999999982</v>
      </c>
      <c r="M22" s="62"/>
      <c r="N22" s="62">
        <f>AVERAGE(L22,J22)</f>
        <v>6.0555000000000003</v>
      </c>
      <c r="O22" s="8">
        <f>STDEV(J22,L22)</f>
        <v>0.36840263299819437</v>
      </c>
      <c r="Q22" s="8">
        <f>N22-N22</f>
        <v>0</v>
      </c>
      <c r="S22" s="8">
        <f>POWER(2,-Q22)</f>
        <v>1</v>
      </c>
    </row>
    <row r="23" spans="1:19">
      <c r="A23" s="70" t="s">
        <v>648</v>
      </c>
      <c r="B23" s="8">
        <v>27.457999999999998</v>
      </c>
      <c r="C23" s="8">
        <v>27.821000000000002</v>
      </c>
      <c r="D23" s="8">
        <v>27.486000000000001</v>
      </c>
      <c r="E23" s="62"/>
      <c r="F23" s="8">
        <v>19.835000000000001</v>
      </c>
      <c r="G23" s="8">
        <v>19.623999999999999</v>
      </c>
      <c r="H23" s="8">
        <v>19.283000000000001</v>
      </c>
      <c r="I23" s="62"/>
      <c r="J23" s="62">
        <f t="shared" ref="J23:L25" si="12">B23-F23</f>
        <v>7.6229999999999976</v>
      </c>
      <c r="K23" s="62">
        <f t="shared" si="12"/>
        <v>8.1970000000000027</v>
      </c>
      <c r="L23" s="62">
        <f t="shared" si="12"/>
        <v>8.2029999999999994</v>
      </c>
      <c r="M23" s="62"/>
      <c r="N23" s="62">
        <f t="shared" ref="N23:N25" si="13">AVERAGE(J23:L23)</f>
        <v>8.0076666666666672</v>
      </c>
      <c r="O23" s="8">
        <f t="shared" ref="O23:O25" si="14">STDEV(J23:L23)</f>
        <v>0.33314461324376038</v>
      </c>
      <c r="Q23" s="8">
        <f>N23-N22</f>
        <v>1.9521666666666668</v>
      </c>
      <c r="S23" s="8">
        <f t="shared" ref="S23:S25" si="15">POWER(2,-Q23)</f>
        <v>0.25842782758410182</v>
      </c>
    </row>
    <row r="24" spans="1:19">
      <c r="A24" s="70" t="s">
        <v>649</v>
      </c>
      <c r="B24" s="8">
        <v>27.683</v>
      </c>
      <c r="C24" s="8">
        <v>27.238</v>
      </c>
      <c r="D24" s="8">
        <v>27.126999999999999</v>
      </c>
      <c r="E24" s="62"/>
      <c r="F24" s="8">
        <v>18.236999999999998</v>
      </c>
      <c r="G24" s="8">
        <v>18.721</v>
      </c>
      <c r="H24" s="8">
        <v>18.626999999999999</v>
      </c>
      <c r="I24" s="62"/>
      <c r="J24" s="62">
        <f t="shared" si="12"/>
        <v>9.4460000000000015</v>
      </c>
      <c r="K24" s="62">
        <f t="shared" si="12"/>
        <v>8.5169999999999995</v>
      </c>
      <c r="L24" s="62">
        <f t="shared" si="12"/>
        <v>8.5</v>
      </c>
      <c r="M24" s="62"/>
      <c r="N24" s="62">
        <f t="shared" si="13"/>
        <v>8.8209999999999997</v>
      </c>
      <c r="O24" s="8">
        <f t="shared" si="14"/>
        <v>0.54133261494205309</v>
      </c>
      <c r="Q24" s="8">
        <f>N24-N22</f>
        <v>2.7654999999999994</v>
      </c>
      <c r="S24" s="8">
        <f t="shared" si="15"/>
        <v>0.14706236538728867</v>
      </c>
    </row>
    <row r="25" spans="1:19">
      <c r="A25" s="70" t="s">
        <v>650</v>
      </c>
      <c r="B25" s="8">
        <v>25.143000000000001</v>
      </c>
      <c r="C25" s="8">
        <v>25.742999999999999</v>
      </c>
      <c r="D25" s="8">
        <v>25.838999999999999</v>
      </c>
      <c r="E25" s="62"/>
      <c r="F25" s="8">
        <v>18.210999999999999</v>
      </c>
      <c r="G25" s="8">
        <v>18.263999999999999</v>
      </c>
      <c r="H25" s="8">
        <v>18.623999999999999</v>
      </c>
      <c r="I25" s="62"/>
      <c r="J25" s="62">
        <f t="shared" si="12"/>
        <v>6.9320000000000022</v>
      </c>
      <c r="K25" s="62">
        <f t="shared" si="12"/>
        <v>7.4789999999999992</v>
      </c>
      <c r="L25" s="62">
        <f t="shared" si="12"/>
        <v>7.2149999999999999</v>
      </c>
      <c r="M25" s="62"/>
      <c r="N25" s="62">
        <f t="shared" si="13"/>
        <v>7.2086666666666668</v>
      </c>
      <c r="O25" s="8">
        <f t="shared" si="14"/>
        <v>0.27355499142463569</v>
      </c>
      <c r="Q25" s="8">
        <f>N25-N22</f>
        <v>1.1531666666666665</v>
      </c>
      <c r="S25" s="8">
        <f t="shared" si="15"/>
        <v>0.44963720894607406</v>
      </c>
    </row>
    <row r="26" spans="1:19">
      <c r="A26" s="70"/>
      <c r="E26" s="62"/>
      <c r="I26" s="62"/>
      <c r="J26" s="62"/>
      <c r="K26" s="62"/>
      <c r="L26" s="62"/>
      <c r="M26" s="62"/>
      <c r="N26" s="62"/>
    </row>
    <row r="27" spans="1:19">
      <c r="A27" s="70" t="s">
        <v>545</v>
      </c>
      <c r="B27" s="62"/>
      <c r="C27" s="62"/>
      <c r="D27" s="62"/>
      <c r="E27" s="62"/>
      <c r="F27" s="63"/>
      <c r="G27" s="63"/>
      <c r="H27" s="62"/>
      <c r="I27" s="62"/>
      <c r="J27" s="62"/>
      <c r="K27" s="62"/>
      <c r="L27" s="62"/>
      <c r="M27" s="62"/>
      <c r="N27" s="62"/>
    </row>
    <row r="28" spans="1:19">
      <c r="A28" s="70" t="s">
        <v>642</v>
      </c>
      <c r="B28" s="8">
        <v>27.529</v>
      </c>
      <c r="C28" s="8">
        <v>28.448</v>
      </c>
      <c r="D28" s="8">
        <v>28.184000000000001</v>
      </c>
      <c r="E28" s="62"/>
      <c r="F28" s="8">
        <v>17.629000000000001</v>
      </c>
      <c r="G28" s="8">
        <v>17.263000000000002</v>
      </c>
      <c r="H28" s="8">
        <v>17.195</v>
      </c>
      <c r="I28" s="62"/>
      <c r="J28" s="62">
        <f>B28-F28</f>
        <v>9.8999999999999986</v>
      </c>
      <c r="K28" s="62">
        <f>C28-G28</f>
        <v>11.184999999999999</v>
      </c>
      <c r="L28" s="62">
        <f>D28-H28</f>
        <v>10.989000000000001</v>
      </c>
      <c r="M28" s="62"/>
      <c r="N28" s="62">
        <f>AVERAGE(L28,J28)</f>
        <v>10.4445</v>
      </c>
      <c r="O28" s="8">
        <f>STDEV(J28,L28)</f>
        <v>0.77003928471215177</v>
      </c>
      <c r="Q28" s="8">
        <f>N28-N28</f>
        <v>0</v>
      </c>
      <c r="S28" s="8">
        <f>POWER(2,-Q28)</f>
        <v>1</v>
      </c>
    </row>
    <row r="29" spans="1:19">
      <c r="A29" s="70" t="s">
        <v>643</v>
      </c>
      <c r="B29" s="8">
        <v>26.483000000000001</v>
      </c>
      <c r="C29" s="8">
        <v>26.283999999999999</v>
      </c>
      <c r="D29" s="8">
        <v>26.373999999999999</v>
      </c>
      <c r="E29" s="62"/>
      <c r="F29" s="8">
        <v>17.628</v>
      </c>
      <c r="G29" s="8">
        <v>17.922000000000001</v>
      </c>
      <c r="H29" s="8">
        <v>17.623000000000001</v>
      </c>
      <c r="I29" s="62"/>
      <c r="J29" s="62">
        <f t="shared" ref="J29:L31" si="16">B29-F29</f>
        <v>8.8550000000000004</v>
      </c>
      <c r="K29" s="62">
        <f t="shared" si="16"/>
        <v>8.3619999999999983</v>
      </c>
      <c r="L29" s="62">
        <f t="shared" si="16"/>
        <v>8.7509999999999977</v>
      </c>
      <c r="M29" s="62"/>
      <c r="N29" s="62">
        <f t="shared" ref="N29:N31" si="17">AVERAGE(J29:L29)</f>
        <v>8.6559999999999988</v>
      </c>
      <c r="O29" s="8">
        <f t="shared" ref="O29:O31" si="18">STDEV(J29:L29)</f>
        <v>0.25986727381492336</v>
      </c>
      <c r="Q29" s="8">
        <f>N29-N28</f>
        <v>-1.7885000000000009</v>
      </c>
      <c r="S29" s="8">
        <f t="shared" ref="S29:S31" si="19">POWER(2,-Q29)</f>
        <v>3.4545552844804406</v>
      </c>
    </row>
    <row r="30" spans="1:19">
      <c r="A30" s="70" t="s">
        <v>644</v>
      </c>
      <c r="B30" s="8">
        <v>28.841000000000001</v>
      </c>
      <c r="C30" s="8">
        <v>28.573</v>
      </c>
      <c r="D30" s="8">
        <v>28.172999999999998</v>
      </c>
      <c r="E30" s="62"/>
      <c r="F30" s="8">
        <v>18.428000000000001</v>
      </c>
      <c r="G30" s="8">
        <v>18.710999999999999</v>
      </c>
      <c r="H30" s="8">
        <v>18.358000000000001</v>
      </c>
      <c r="I30" s="62"/>
      <c r="J30" s="62">
        <f t="shared" si="16"/>
        <v>10.413</v>
      </c>
      <c r="K30" s="62">
        <f t="shared" si="16"/>
        <v>9.8620000000000019</v>
      </c>
      <c r="L30" s="62">
        <f t="shared" si="16"/>
        <v>9.8149999999999977</v>
      </c>
      <c r="M30" s="62"/>
      <c r="N30" s="62">
        <f t="shared" si="17"/>
        <v>10.029999999999999</v>
      </c>
      <c r="O30" s="8">
        <f t="shared" si="18"/>
        <v>0.33251917237957918</v>
      </c>
      <c r="Q30" s="8">
        <f>N30-N28</f>
        <v>-0.41450000000000031</v>
      </c>
      <c r="S30" s="8">
        <f t="shared" si="19"/>
        <v>1.3328366710459352</v>
      </c>
    </row>
    <row r="31" spans="1:19">
      <c r="A31" s="70" t="s">
        <v>650</v>
      </c>
      <c r="B31" s="8">
        <v>28.731999999999999</v>
      </c>
      <c r="C31" s="8">
        <v>28.135999999999999</v>
      </c>
      <c r="D31" s="8">
        <v>28.712</v>
      </c>
      <c r="E31" s="62"/>
      <c r="F31" s="8">
        <v>18.734000000000002</v>
      </c>
      <c r="G31" s="8">
        <v>18.143999999999998</v>
      </c>
      <c r="H31" s="8">
        <v>18.853000000000002</v>
      </c>
      <c r="I31" s="62"/>
      <c r="J31" s="62">
        <f t="shared" si="16"/>
        <v>9.9979999999999976</v>
      </c>
      <c r="K31" s="62">
        <f t="shared" si="16"/>
        <v>9.9920000000000009</v>
      </c>
      <c r="L31" s="62">
        <f t="shared" si="16"/>
        <v>9.8589999999999982</v>
      </c>
      <c r="M31" s="62"/>
      <c r="N31" s="62">
        <f t="shared" si="17"/>
        <v>9.9496666666666655</v>
      </c>
      <c r="O31" s="8">
        <f t="shared" si="18"/>
        <v>7.8576926214591877E-2</v>
      </c>
      <c r="Q31" s="8">
        <f>N31-N28</f>
        <v>-0.49483333333333412</v>
      </c>
      <c r="S31" s="8">
        <f t="shared" si="19"/>
        <v>1.4091579534280085</v>
      </c>
    </row>
    <row r="32" spans="1:19">
      <c r="D32" s="64"/>
      <c r="G32" s="64"/>
    </row>
    <row r="33" spans="4:7">
      <c r="D33" s="64"/>
      <c r="G33" s="64"/>
    </row>
    <row r="34" spans="4:7">
      <c r="D34" s="64"/>
      <c r="G34" s="64"/>
    </row>
    <row r="35" spans="4:7">
      <c r="D35" s="64"/>
      <c r="F35" s="64"/>
      <c r="G35" s="64"/>
    </row>
    <row r="36" spans="4:7">
      <c r="D36" s="64"/>
      <c r="F36" s="64"/>
      <c r="G36" s="64"/>
    </row>
    <row r="37" spans="4:7">
      <c r="D37" s="64"/>
      <c r="F37" s="64"/>
      <c r="G37" s="64"/>
    </row>
    <row r="38" spans="4:7">
      <c r="D38" s="64"/>
      <c r="F38" s="64"/>
    </row>
    <row r="39" spans="4:7">
      <c r="D39" s="64"/>
      <c r="F39" s="64"/>
    </row>
    <row r="40" spans="4:7">
      <c r="D40" s="64"/>
      <c r="F40" s="64"/>
    </row>
    <row r="41" spans="4:7">
      <c r="D41" s="64"/>
      <c r="F41" s="64"/>
    </row>
    <row r="42" spans="4:7">
      <c r="F42" s="64"/>
    </row>
    <row r="43" spans="4:7">
      <c r="F43" s="64"/>
    </row>
    <row r="44" spans="4:7">
      <c r="F44" s="64"/>
    </row>
    <row r="45" spans="4:7">
      <c r="F45" s="64"/>
    </row>
    <row r="46" spans="4:7">
      <c r="F46" s="64"/>
    </row>
    <row r="47" spans="4:7">
      <c r="F47" s="64"/>
    </row>
    <row r="48" spans="4:7">
      <c r="F48" s="64"/>
    </row>
    <row r="49" spans="6:6">
      <c r="F49" s="64"/>
    </row>
  </sheetData>
  <mergeCells count="2">
    <mergeCell ref="B2:D2"/>
    <mergeCell ref="F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76</vt:i4>
      </vt:variant>
    </vt:vector>
  </HeadingPairs>
  <TitlesOfParts>
    <vt:vector size="76" baseType="lpstr">
      <vt:lpstr>fig1c</vt:lpstr>
      <vt:lpstr>fig2a</vt:lpstr>
      <vt:lpstr>fig2b</vt:lpstr>
      <vt:lpstr>fig2c</vt:lpstr>
      <vt:lpstr>fig2d</vt:lpstr>
      <vt:lpstr>fig2e</vt:lpstr>
      <vt:lpstr>fig2g</vt:lpstr>
      <vt:lpstr>fig2h</vt:lpstr>
      <vt:lpstr>fig3b</vt:lpstr>
      <vt:lpstr>fig3c</vt:lpstr>
      <vt:lpstr>fig3d</vt:lpstr>
      <vt:lpstr>fig3e</vt:lpstr>
      <vt:lpstr>fig3f</vt:lpstr>
      <vt:lpstr>Fig4b</vt:lpstr>
      <vt:lpstr>Fig4c,d,e</vt:lpstr>
      <vt:lpstr>Fig4f,g,h</vt:lpstr>
      <vt:lpstr>Fig4i,j,k</vt:lpstr>
      <vt:lpstr>Fig5A</vt:lpstr>
      <vt:lpstr>Fig5B,C,D</vt:lpstr>
      <vt:lpstr>Fig5E</vt:lpstr>
      <vt:lpstr>Fig5F</vt:lpstr>
      <vt:lpstr>Fig5G</vt:lpstr>
      <vt:lpstr>Fig5H</vt:lpstr>
      <vt:lpstr>Fig5I</vt:lpstr>
      <vt:lpstr>Fig6A,B,C</vt:lpstr>
      <vt:lpstr>Fig6D,E,F</vt:lpstr>
      <vt:lpstr>Fig6G</vt:lpstr>
      <vt:lpstr>Fig6H</vt:lpstr>
      <vt:lpstr>Fig6I</vt:lpstr>
      <vt:lpstr>Fig6J, K</vt:lpstr>
      <vt:lpstr>Fig7A</vt:lpstr>
      <vt:lpstr>Fig7B,C,D</vt:lpstr>
      <vt:lpstr>Fig7E</vt:lpstr>
      <vt:lpstr>Fig7F</vt:lpstr>
      <vt:lpstr>Fig7G</vt:lpstr>
      <vt:lpstr>Fig7H</vt:lpstr>
      <vt:lpstr>Fig7I,J</vt:lpstr>
      <vt:lpstr>Supp1A,B,C,D</vt:lpstr>
      <vt:lpstr>Supp2B,C,D</vt:lpstr>
      <vt:lpstr>Supp2E</vt:lpstr>
      <vt:lpstr>Supp2F</vt:lpstr>
      <vt:lpstr>Supp2G</vt:lpstr>
      <vt:lpstr>Supp3A</vt:lpstr>
      <vt:lpstr>Supp3B</vt:lpstr>
      <vt:lpstr>Supp3C</vt:lpstr>
      <vt:lpstr>Supp3D</vt:lpstr>
      <vt:lpstr>SuppFig4A</vt:lpstr>
      <vt:lpstr>Supp Fig4B</vt:lpstr>
      <vt:lpstr>Supp Fig4C</vt:lpstr>
      <vt:lpstr>Supp Fig4D</vt:lpstr>
      <vt:lpstr>Supp Fig4E</vt:lpstr>
      <vt:lpstr>Supp5B</vt:lpstr>
      <vt:lpstr>Supp5C</vt:lpstr>
      <vt:lpstr>Supp5D</vt:lpstr>
      <vt:lpstr>Supp5F</vt:lpstr>
      <vt:lpstr>Supp6B,C</vt:lpstr>
      <vt:lpstr>Supp Fig7</vt:lpstr>
      <vt:lpstr>SuppFig 8</vt:lpstr>
      <vt:lpstr>Supp Fig9A</vt:lpstr>
      <vt:lpstr>Supp Fig9B</vt:lpstr>
      <vt:lpstr>Supp Fig9C</vt:lpstr>
      <vt:lpstr>Supp Fig9D</vt:lpstr>
      <vt:lpstr>Supp Fig10A, B, C</vt:lpstr>
      <vt:lpstr>Supp Fig10D, E</vt:lpstr>
      <vt:lpstr>Supp Fig11A</vt:lpstr>
      <vt:lpstr>Supp Fig11B</vt:lpstr>
      <vt:lpstr>Supp Fig12</vt:lpstr>
      <vt:lpstr>Supp Fig13</vt:lpstr>
      <vt:lpstr>Supp Fig14</vt:lpstr>
      <vt:lpstr>Supp Fig15</vt:lpstr>
      <vt:lpstr>Supp Fig16</vt:lpstr>
      <vt:lpstr>SupFig 17A</vt:lpstr>
      <vt:lpstr>Supp Fig17B</vt:lpstr>
      <vt:lpstr>Supp Fig17C</vt:lpstr>
      <vt:lpstr>Supp Fig17D</vt:lpstr>
      <vt:lpstr>Supp Fig17E</vt:lpstr>
    </vt:vector>
  </TitlesOfParts>
  <Company>Springer-SBM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Fiona Gillespie</dc:creator>
  <cp:lastModifiedBy>faziz</cp:lastModifiedBy>
  <dcterms:created xsi:type="dcterms:W3CDTF">2017-11-15T12:34:53Z</dcterms:created>
  <dcterms:modified xsi:type="dcterms:W3CDTF">2019-12-30T15:47:51Z</dcterms:modified>
</cp:coreProperties>
</file>